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28680" yWindow="-120" windowWidth="29040" windowHeight="15840" firstSheet="1" activeTab="1"/>
  </bookViews>
  <sheets>
    <sheet name="Funcionários" sheetId="1" state="hidden" r:id="rId1"/>
    <sheet name="Planilha1" sheetId="2" r:id="rId2"/>
  </sheets>
  <definedNames>
    <definedName name="_xlnm._FilterDatabase" localSheetId="0" hidden="1">Funcionários!$A$2:$E$2054</definedName>
    <definedName name="_xlnm.Print_Area" localSheetId="1">Planilha1!$A$1:$C$23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C9" i="2"/>
  <c r="B20"/>
  <c r="E2054" i="1"/>
  <c r="C2054"/>
  <c r="B2054"/>
  <c r="A2054"/>
  <c r="E2053"/>
  <c r="C2053"/>
  <c r="B2053"/>
  <c r="A2053"/>
  <c r="E2052"/>
  <c r="C2052"/>
  <c r="B2052"/>
  <c r="A2052"/>
  <c r="E2051"/>
  <c r="C2051"/>
  <c r="B2051"/>
  <c r="A2051"/>
  <c r="E2050"/>
  <c r="C2050"/>
  <c r="B2050"/>
  <c r="A2050"/>
  <c r="E2049"/>
  <c r="C2049"/>
  <c r="B2049"/>
  <c r="A2049"/>
  <c r="E2048"/>
  <c r="C2048"/>
  <c r="B2048"/>
  <c r="A2048"/>
  <c r="E2047"/>
  <c r="C2047"/>
  <c r="B2047"/>
  <c r="A2047"/>
  <c r="E2046"/>
  <c r="C2046"/>
  <c r="B2046"/>
  <c r="A2046"/>
  <c r="E2045"/>
  <c r="C2045"/>
  <c r="B2045"/>
  <c r="A2045"/>
  <c r="E2044"/>
  <c r="C2044"/>
  <c r="B2044"/>
  <c r="A2044"/>
  <c r="E2043"/>
  <c r="C2043"/>
  <c r="B2043"/>
  <c r="A2043"/>
  <c r="E2042"/>
  <c r="C2042"/>
  <c r="B2042"/>
  <c r="A2042"/>
  <c r="E2041"/>
  <c r="C2041"/>
  <c r="B2041"/>
  <c r="A2041"/>
  <c r="E2040"/>
  <c r="C2040"/>
  <c r="B2040"/>
  <c r="A2040"/>
  <c r="E2039"/>
  <c r="C2039"/>
  <c r="B2039"/>
  <c r="A2039"/>
  <c r="E2038"/>
  <c r="C2038"/>
  <c r="B2038"/>
  <c r="A2038"/>
  <c r="E2037"/>
  <c r="C2037"/>
  <c r="B2037"/>
  <c r="A2037"/>
  <c r="E2036"/>
  <c r="C2036"/>
  <c r="B2036"/>
  <c r="A2036"/>
  <c r="E2035"/>
  <c r="C2035"/>
  <c r="B2035"/>
  <c r="A2035"/>
  <c r="E2034"/>
  <c r="C2034"/>
  <c r="B2034"/>
  <c r="A2034"/>
  <c r="E2033"/>
  <c r="C2033"/>
  <c r="B2033"/>
  <c r="A2033"/>
  <c r="E2032"/>
  <c r="C2032"/>
  <c r="B2032"/>
  <c r="A2032"/>
  <c r="E2031"/>
  <c r="C2031"/>
  <c r="B2031"/>
  <c r="A2031"/>
  <c r="E2030"/>
  <c r="C2030"/>
  <c r="B2030"/>
  <c r="A2030"/>
  <c r="E2029"/>
  <c r="C2029"/>
  <c r="B2029"/>
  <c r="A2029"/>
  <c r="E2028"/>
  <c r="C2028"/>
  <c r="B2028"/>
  <c r="A2028"/>
  <c r="E2027"/>
  <c r="C2027"/>
  <c r="B2027"/>
  <c r="A2027"/>
  <c r="E2026"/>
  <c r="C2026"/>
  <c r="B2026"/>
  <c r="A2026"/>
  <c r="E2025"/>
  <c r="C2025"/>
  <c r="B2025"/>
  <c r="A2025"/>
  <c r="E2024"/>
  <c r="C2024"/>
  <c r="B2024"/>
  <c r="A2024"/>
  <c r="E2023"/>
  <c r="C2023"/>
  <c r="B2023"/>
  <c r="A2023"/>
  <c r="E2022"/>
  <c r="C2022"/>
  <c r="B2022"/>
  <c r="A2022"/>
  <c r="E2021"/>
  <c r="C2021"/>
  <c r="B2021"/>
  <c r="A2021"/>
  <c r="E2020"/>
  <c r="C2020"/>
  <c r="B2020"/>
  <c r="A2020"/>
  <c r="E2019"/>
  <c r="C2019"/>
  <c r="B2019"/>
  <c r="A2019"/>
  <c r="E2018"/>
  <c r="C2018"/>
  <c r="B2018"/>
  <c r="A2018"/>
  <c r="E2017"/>
  <c r="C2017"/>
  <c r="B2017"/>
  <c r="A2017"/>
  <c r="E2016"/>
  <c r="C2016"/>
  <c r="B2016"/>
  <c r="A2016"/>
  <c r="E2015"/>
  <c r="C2015"/>
  <c r="B2015"/>
  <c r="A2015"/>
  <c r="E2014"/>
  <c r="C2014"/>
  <c r="B2014"/>
  <c r="A2014"/>
  <c r="E2013"/>
  <c r="C2013"/>
  <c r="B2013"/>
  <c r="A2013"/>
  <c r="E2012"/>
  <c r="C2012"/>
  <c r="B2012"/>
  <c r="A2012"/>
  <c r="E2011"/>
  <c r="C2011"/>
  <c r="B2011"/>
  <c r="A2011"/>
  <c r="E2010"/>
  <c r="C2010"/>
  <c r="B2010"/>
  <c r="A2010"/>
  <c r="E2009"/>
  <c r="C2009"/>
  <c r="B2009"/>
  <c r="A2009"/>
  <c r="E2008"/>
  <c r="C2008"/>
  <c r="B2008"/>
  <c r="A2008"/>
  <c r="E2007"/>
  <c r="C2007"/>
  <c r="B2007"/>
  <c r="A2007"/>
  <c r="E2006"/>
  <c r="C2006"/>
  <c r="B2006"/>
  <c r="A2006"/>
  <c r="E2005"/>
  <c r="C2005"/>
  <c r="B2005"/>
  <c r="A2005"/>
  <c r="E2004"/>
  <c r="C2004"/>
  <c r="B2004"/>
  <c r="A2004"/>
  <c r="E2003"/>
  <c r="C2003"/>
  <c r="B2003"/>
  <c r="A2003"/>
  <c r="E2002"/>
  <c r="C2002"/>
  <c r="B2002"/>
  <c r="A2002"/>
  <c r="E2001"/>
  <c r="C2001"/>
  <c r="B2001"/>
  <c r="A2001"/>
  <c r="E2000"/>
  <c r="C2000"/>
  <c r="B2000"/>
  <c r="A2000"/>
  <c r="E1999"/>
  <c r="C1999"/>
  <c r="B1999"/>
  <c r="A1999"/>
  <c r="E1998"/>
  <c r="C1998"/>
  <c r="B1998"/>
  <c r="A1998"/>
  <c r="E1997"/>
  <c r="C1997"/>
  <c r="B1997"/>
  <c r="A1997"/>
  <c r="E1996"/>
  <c r="C1996"/>
  <c r="B1996"/>
  <c r="A1996"/>
  <c r="E1995"/>
  <c r="C1995"/>
  <c r="B1995"/>
  <c r="A1995"/>
  <c r="E1994"/>
  <c r="C1994"/>
  <c r="B1994"/>
  <c r="A1994"/>
  <c r="E1993"/>
  <c r="C1993"/>
  <c r="B1993"/>
  <c r="A1993"/>
  <c r="E1992"/>
  <c r="C1992"/>
  <c r="B1992"/>
  <c r="A1992"/>
  <c r="E1991"/>
  <c r="C1991"/>
  <c r="B1991"/>
  <c r="A1991"/>
  <c r="E1990"/>
  <c r="C1990"/>
  <c r="B1990"/>
  <c r="A1990"/>
  <c r="E1989"/>
  <c r="C1989"/>
  <c r="B1989"/>
  <c r="A1989"/>
  <c r="E1988"/>
  <c r="C1988"/>
  <c r="B1988"/>
  <c r="A1988"/>
  <c r="E1987"/>
  <c r="C1987"/>
  <c r="B1987"/>
  <c r="A1987"/>
  <c r="E1986"/>
  <c r="C1986"/>
  <c r="B1986"/>
  <c r="A1986"/>
  <c r="E1985"/>
  <c r="C1985"/>
  <c r="B1985"/>
  <c r="A1985"/>
  <c r="E1984"/>
  <c r="C1984"/>
  <c r="B1984"/>
  <c r="A1984"/>
  <c r="E1983"/>
  <c r="C1983"/>
  <c r="B1983"/>
  <c r="A1983"/>
  <c r="E1982"/>
  <c r="C1982"/>
  <c r="B1982"/>
  <c r="A1982"/>
  <c r="E1981"/>
  <c r="C1981"/>
  <c r="B1981"/>
  <c r="A1981"/>
  <c r="E1980"/>
  <c r="C1980"/>
  <c r="B1980"/>
  <c r="A1980"/>
  <c r="E1979"/>
  <c r="C1979"/>
  <c r="B1979"/>
  <c r="A1979"/>
  <c r="E1978"/>
  <c r="C1978"/>
  <c r="B1978"/>
  <c r="A1978"/>
  <c r="E1977"/>
  <c r="C1977"/>
  <c r="B1977"/>
  <c r="A1977"/>
  <c r="E1976"/>
  <c r="C1976"/>
  <c r="B1976"/>
  <c r="A1976"/>
  <c r="E1975"/>
  <c r="C1975"/>
  <c r="B1975"/>
  <c r="A1975"/>
  <c r="E1974"/>
  <c r="C1974"/>
  <c r="B1974"/>
  <c r="A1974"/>
  <c r="E1973"/>
  <c r="C1973"/>
  <c r="B1973"/>
  <c r="A1973"/>
  <c r="E1972"/>
  <c r="C1972"/>
  <c r="B1972"/>
  <c r="A1972"/>
  <c r="E1971"/>
  <c r="C1971"/>
  <c r="B1971"/>
  <c r="A1971"/>
  <c r="E1970"/>
  <c r="C1970"/>
  <c r="B1970"/>
  <c r="A1970"/>
  <c r="E1969"/>
  <c r="C1969"/>
  <c r="B1969"/>
  <c r="A1969"/>
  <c r="E1968"/>
  <c r="C1968"/>
  <c r="B1968"/>
  <c r="A1968"/>
  <c r="E1967"/>
  <c r="C1967"/>
  <c r="B1967"/>
  <c r="A1967"/>
  <c r="E1966"/>
  <c r="C1966"/>
  <c r="B1966"/>
  <c r="A1966"/>
  <c r="E1965"/>
  <c r="C1965"/>
  <c r="B1965"/>
  <c r="A1965"/>
  <c r="E1964"/>
  <c r="C1964"/>
  <c r="B1964"/>
  <c r="A1964"/>
  <c r="E1963"/>
  <c r="C1963"/>
  <c r="B1963"/>
  <c r="A1963"/>
  <c r="E1962"/>
  <c r="C1962"/>
  <c r="B1962"/>
  <c r="A1962"/>
  <c r="E1961"/>
  <c r="C1961"/>
  <c r="B1961"/>
  <c r="A1961"/>
  <c r="E1960"/>
  <c r="C1960"/>
  <c r="B1960"/>
  <c r="A1960"/>
  <c r="E1959"/>
  <c r="C1959"/>
  <c r="B1959"/>
  <c r="A1959"/>
  <c r="E1958"/>
  <c r="C1958"/>
  <c r="B1958"/>
  <c r="A1958"/>
  <c r="E1957"/>
  <c r="C1957"/>
  <c r="B1957"/>
  <c r="A1957"/>
  <c r="E1956"/>
  <c r="C1956"/>
  <c r="B1956"/>
  <c r="A1956"/>
  <c r="E1955"/>
  <c r="C1955"/>
  <c r="B1955"/>
  <c r="A1955"/>
  <c r="E1954"/>
  <c r="C1954"/>
  <c r="B1954"/>
  <c r="A1954"/>
  <c r="E1953"/>
  <c r="C1953"/>
  <c r="B1953"/>
  <c r="A1953"/>
  <c r="E1952"/>
  <c r="C1952"/>
  <c r="B1952"/>
  <c r="A1952"/>
  <c r="E1951"/>
  <c r="C1951"/>
  <c r="B1951"/>
  <c r="A1951"/>
  <c r="E1950"/>
  <c r="C1950"/>
  <c r="B1950"/>
  <c r="A1950"/>
  <c r="E1949"/>
  <c r="C1949"/>
  <c r="B1949"/>
  <c r="A1949"/>
  <c r="E1948"/>
  <c r="C1948"/>
  <c r="B1948"/>
  <c r="A1948"/>
  <c r="E1947"/>
  <c r="C1947"/>
  <c r="B1947"/>
  <c r="A1947"/>
  <c r="E1946"/>
  <c r="C1946"/>
  <c r="B1946"/>
  <c r="A1946"/>
  <c r="E1945"/>
  <c r="C1945"/>
  <c r="B1945"/>
  <c r="A1945"/>
  <c r="E1944"/>
  <c r="C1944"/>
  <c r="B1944"/>
  <c r="A1944"/>
  <c r="E1943"/>
  <c r="C1943"/>
  <c r="B1943"/>
  <c r="A1943"/>
  <c r="E1942"/>
  <c r="C1942"/>
  <c r="B1942"/>
  <c r="A1942"/>
  <c r="E1941"/>
  <c r="C1941"/>
  <c r="B1941"/>
  <c r="A1941"/>
  <c r="E1940"/>
  <c r="C1940"/>
  <c r="B1940"/>
  <c r="A1940"/>
  <c r="E1939"/>
  <c r="C1939"/>
  <c r="B1939"/>
  <c r="A1939"/>
  <c r="E1938"/>
  <c r="C1938"/>
  <c r="B1938"/>
  <c r="A1938"/>
  <c r="E1937"/>
  <c r="C1937"/>
  <c r="B1937"/>
  <c r="A1937"/>
  <c r="E1936"/>
  <c r="C1936"/>
  <c r="B1936"/>
  <c r="A1936"/>
  <c r="E1935"/>
  <c r="C1935"/>
  <c r="B1935"/>
  <c r="A1935"/>
  <c r="E1934"/>
  <c r="C1934"/>
  <c r="B1934"/>
  <c r="A1934"/>
  <c r="E1933"/>
  <c r="C1933"/>
  <c r="B1933"/>
  <c r="A1933"/>
  <c r="E1932"/>
  <c r="C1932"/>
  <c r="B1932"/>
  <c r="A1932"/>
  <c r="E1931"/>
  <c r="C1931"/>
  <c r="B1931"/>
  <c r="A1931"/>
  <c r="E1930"/>
  <c r="C1930"/>
  <c r="B1930"/>
  <c r="A1930"/>
  <c r="E1929"/>
  <c r="C1929"/>
  <c r="B1929"/>
  <c r="A1929"/>
  <c r="E1928"/>
  <c r="C1928"/>
  <c r="B1928"/>
  <c r="A1928"/>
  <c r="E1927"/>
  <c r="C1927"/>
  <c r="B1927"/>
  <c r="A1927"/>
  <c r="E1926"/>
  <c r="C1926"/>
  <c r="B1926"/>
  <c r="A1926"/>
  <c r="E1925"/>
  <c r="C1925"/>
  <c r="B1925"/>
  <c r="A1925"/>
  <c r="E1924"/>
  <c r="C1924"/>
  <c r="B1924"/>
  <c r="A1924"/>
  <c r="E1923"/>
  <c r="C1923"/>
  <c r="B1923"/>
  <c r="A1923"/>
  <c r="E1922"/>
  <c r="C1922"/>
  <c r="B1922"/>
  <c r="A1922"/>
  <c r="E1921"/>
  <c r="C1921"/>
  <c r="B1921"/>
  <c r="A1921"/>
  <c r="E1920"/>
  <c r="C1920"/>
  <c r="B1920"/>
  <c r="A1920"/>
  <c r="E1919"/>
  <c r="C1919"/>
  <c r="B1919"/>
  <c r="A1919"/>
  <c r="E1918"/>
  <c r="C1918"/>
  <c r="B1918"/>
  <c r="A1918"/>
  <c r="E1917"/>
  <c r="C1917"/>
  <c r="B1917"/>
  <c r="A1917"/>
  <c r="E1916"/>
  <c r="C1916"/>
  <c r="B1916"/>
  <c r="A1916"/>
  <c r="E1915"/>
  <c r="C1915"/>
  <c r="B1915"/>
  <c r="A1915"/>
  <c r="E1914"/>
  <c r="C1914"/>
  <c r="B1914"/>
  <c r="A1914"/>
  <c r="E1913"/>
  <c r="C1913"/>
  <c r="B1913"/>
  <c r="A1913"/>
  <c r="E1912"/>
  <c r="C1912"/>
  <c r="B1912"/>
  <c r="A1912"/>
  <c r="E1911"/>
  <c r="C1911"/>
  <c r="B1911"/>
  <c r="A1911"/>
  <c r="E1910"/>
  <c r="C1910"/>
  <c r="B1910"/>
  <c r="A1910"/>
  <c r="E1909"/>
  <c r="C1909"/>
  <c r="B1909"/>
  <c r="A1909"/>
  <c r="E1908"/>
  <c r="C1908"/>
  <c r="B1908"/>
  <c r="A1908"/>
  <c r="E1907"/>
  <c r="C1907"/>
  <c r="B1907"/>
  <c r="A1907"/>
  <c r="E1906"/>
  <c r="C1906"/>
  <c r="B1906"/>
  <c r="A1906"/>
  <c r="E1905"/>
  <c r="C1905"/>
  <c r="B1905"/>
  <c r="A1905"/>
  <c r="E1904"/>
  <c r="C1904"/>
  <c r="B1904"/>
  <c r="A1904"/>
  <c r="E1903"/>
  <c r="C1903"/>
  <c r="B1903"/>
  <c r="A1903"/>
  <c r="E1902"/>
  <c r="C1902"/>
  <c r="B1902"/>
  <c r="A1902"/>
  <c r="E1901"/>
  <c r="C1901"/>
  <c r="B1901"/>
  <c r="A1901"/>
  <c r="E1900"/>
  <c r="C1900"/>
  <c r="B1900"/>
  <c r="A1900"/>
  <c r="E1899"/>
  <c r="C1899"/>
  <c r="B1899"/>
  <c r="A1899"/>
  <c r="E1898"/>
  <c r="C1898"/>
  <c r="B1898"/>
  <c r="A1898"/>
  <c r="E1897"/>
  <c r="C1897"/>
  <c r="B1897"/>
  <c r="A1897"/>
  <c r="E1896"/>
  <c r="C1896"/>
  <c r="B1896"/>
  <c r="A1896"/>
  <c r="E1895"/>
  <c r="C1895"/>
  <c r="B1895"/>
  <c r="A1895"/>
  <c r="E1894"/>
  <c r="C1894"/>
  <c r="B1894"/>
  <c r="A1894"/>
  <c r="E1893"/>
  <c r="C1893"/>
  <c r="B1893"/>
  <c r="A1893"/>
  <c r="E1892"/>
  <c r="C1892"/>
  <c r="B1892"/>
  <c r="A1892"/>
  <c r="E1891"/>
  <c r="C1891"/>
  <c r="B1891"/>
  <c r="A1891"/>
  <c r="E1890"/>
  <c r="C1890"/>
  <c r="B1890"/>
  <c r="A1890"/>
  <c r="E1889"/>
  <c r="C1889"/>
  <c r="B1889"/>
  <c r="A1889"/>
  <c r="E1888"/>
  <c r="C1888"/>
  <c r="B1888"/>
  <c r="A1888"/>
  <c r="E1887"/>
  <c r="C1887"/>
  <c r="B1887"/>
  <c r="A1887"/>
  <c r="E1886"/>
  <c r="C1886"/>
  <c r="B1886"/>
  <c r="A1886"/>
  <c r="E1885"/>
  <c r="C1885"/>
  <c r="B1885"/>
  <c r="A1885"/>
  <c r="E1884"/>
  <c r="C1884"/>
  <c r="B1884"/>
  <c r="A1884"/>
  <c r="E1883"/>
  <c r="C1883"/>
  <c r="B1883"/>
  <c r="A1883"/>
  <c r="E1882"/>
  <c r="C1882"/>
  <c r="B1882"/>
  <c r="A1882"/>
  <c r="E1881"/>
  <c r="C1881"/>
  <c r="B1881"/>
  <c r="A1881"/>
  <c r="E1880"/>
  <c r="C1880"/>
  <c r="B1880"/>
  <c r="A1880"/>
  <c r="E1879"/>
  <c r="C1879"/>
  <c r="B1879"/>
  <c r="A1879"/>
  <c r="E1878"/>
  <c r="C1878"/>
  <c r="B1878"/>
  <c r="A1878"/>
  <c r="E1877"/>
  <c r="C1877"/>
  <c r="B1877"/>
  <c r="A1877"/>
  <c r="E1876"/>
  <c r="C1876"/>
  <c r="B1876"/>
  <c r="A1876"/>
  <c r="E1875"/>
  <c r="C1875"/>
  <c r="B1875"/>
  <c r="A1875"/>
  <c r="E1874"/>
  <c r="C1874"/>
  <c r="B1874"/>
  <c r="A1874"/>
  <c r="E1873"/>
  <c r="C1873"/>
  <c r="B1873"/>
  <c r="A1873"/>
  <c r="E1872"/>
  <c r="C1872"/>
  <c r="B1872"/>
  <c r="A1872"/>
  <c r="E1871"/>
  <c r="C1871"/>
  <c r="B1871"/>
  <c r="A1871"/>
  <c r="E1870"/>
  <c r="C1870"/>
  <c r="B1870"/>
  <c r="A1870"/>
  <c r="E1869"/>
  <c r="C1869"/>
  <c r="B1869"/>
  <c r="A1869"/>
  <c r="E1868"/>
  <c r="C1868"/>
  <c r="B1868"/>
  <c r="A1868"/>
  <c r="E1867"/>
  <c r="C1867"/>
  <c r="B1867"/>
  <c r="A1867"/>
  <c r="E1866"/>
  <c r="C1866"/>
  <c r="B1866"/>
  <c r="A1866"/>
  <c r="E1865"/>
  <c r="C1865"/>
  <c r="B1865"/>
  <c r="A1865"/>
  <c r="E1864"/>
  <c r="C1864"/>
  <c r="B1864"/>
  <c r="A1864"/>
  <c r="E1863"/>
  <c r="C1863"/>
  <c r="B1863"/>
  <c r="A1863"/>
  <c r="E1862"/>
  <c r="C1862"/>
  <c r="B1862"/>
  <c r="A1862"/>
  <c r="E1861"/>
  <c r="C1861"/>
  <c r="B1861"/>
  <c r="A1861"/>
  <c r="E1860"/>
  <c r="C1860"/>
  <c r="B1860"/>
  <c r="A1860"/>
  <c r="E1859"/>
  <c r="C1859"/>
  <c r="B1859"/>
  <c r="A1859"/>
  <c r="E1858"/>
  <c r="C1858"/>
  <c r="B1858"/>
  <c r="A1858"/>
  <c r="E1857"/>
  <c r="C1857"/>
  <c r="B1857"/>
  <c r="A1857"/>
  <c r="E1856"/>
  <c r="C1856"/>
  <c r="B1856"/>
  <c r="A1856"/>
  <c r="E1855"/>
  <c r="C1855"/>
  <c r="B1855"/>
  <c r="A1855"/>
  <c r="E1854"/>
  <c r="C1854"/>
  <c r="B1854"/>
  <c r="A1854"/>
  <c r="E1853"/>
  <c r="C1853"/>
  <c r="B1853"/>
  <c r="A1853"/>
  <c r="E1852"/>
  <c r="C1852"/>
  <c r="B1852"/>
  <c r="A1852"/>
  <c r="E1851"/>
  <c r="C1851"/>
  <c r="B1851"/>
  <c r="A1851"/>
  <c r="E1850"/>
  <c r="C1850"/>
  <c r="B1850"/>
  <c r="A1850"/>
  <c r="E1849"/>
  <c r="C1849"/>
  <c r="B1849"/>
  <c r="A1849"/>
  <c r="E1848"/>
  <c r="C1848"/>
  <c r="B1848"/>
  <c r="A1848"/>
  <c r="E1847"/>
  <c r="C1847"/>
  <c r="B1847"/>
  <c r="A1847"/>
  <c r="E1846"/>
  <c r="C1846"/>
  <c r="B1846"/>
  <c r="A1846"/>
  <c r="E1845"/>
  <c r="C1845"/>
  <c r="B1845"/>
  <c r="A1845"/>
  <c r="E1844"/>
  <c r="C1844"/>
  <c r="B1844"/>
  <c r="A1844"/>
  <c r="E1843"/>
  <c r="C1843"/>
  <c r="B1843"/>
  <c r="A1843"/>
  <c r="E1842"/>
  <c r="C1842"/>
  <c r="B1842"/>
  <c r="A1842"/>
  <c r="E1841"/>
  <c r="C1841"/>
  <c r="B1841"/>
  <c r="A1841"/>
  <c r="E1840"/>
  <c r="C1840"/>
  <c r="B1840"/>
  <c r="A1840"/>
  <c r="E1839"/>
  <c r="C1839"/>
  <c r="B1839"/>
  <c r="A1839"/>
  <c r="E1838"/>
  <c r="C1838"/>
  <c r="B1838"/>
  <c r="A1838"/>
  <c r="E1837"/>
  <c r="C1837"/>
  <c r="B1837"/>
  <c r="A1837"/>
  <c r="E1836"/>
  <c r="C1836"/>
  <c r="B1836"/>
  <c r="A1836"/>
  <c r="E1835"/>
  <c r="C1835"/>
  <c r="B1835"/>
  <c r="A1835"/>
  <c r="E1834"/>
  <c r="C1834"/>
  <c r="B1834"/>
  <c r="A1834"/>
  <c r="E1833"/>
  <c r="C1833"/>
  <c r="B1833"/>
  <c r="A1833"/>
  <c r="E1832"/>
  <c r="C1832"/>
  <c r="B1832"/>
  <c r="A1832"/>
  <c r="E1831"/>
  <c r="C1831"/>
  <c r="B1831"/>
  <c r="A1831"/>
  <c r="E1830"/>
  <c r="C1830"/>
  <c r="B1830"/>
  <c r="A1830"/>
  <c r="E1829"/>
  <c r="C1829"/>
  <c r="B1829"/>
  <c r="A1829"/>
  <c r="E1828"/>
  <c r="C1828"/>
  <c r="B1828"/>
  <c r="A1828"/>
  <c r="E1827"/>
  <c r="C1827"/>
  <c r="B1827"/>
  <c r="A1827"/>
  <c r="E1826"/>
  <c r="C1826"/>
  <c r="B1826"/>
  <c r="A1826"/>
  <c r="E1825"/>
  <c r="C1825"/>
  <c r="B1825"/>
  <c r="A1825"/>
  <c r="E1824"/>
  <c r="C1824"/>
  <c r="B1824"/>
  <c r="A1824"/>
  <c r="E1823"/>
  <c r="C1823"/>
  <c r="B1823"/>
  <c r="A1823"/>
  <c r="E1822"/>
  <c r="C1822"/>
  <c r="B1822"/>
  <c r="A1822"/>
  <c r="E1821"/>
  <c r="C1821"/>
  <c r="B1821"/>
  <c r="A1821"/>
  <c r="E1820"/>
  <c r="C1820"/>
  <c r="B1820"/>
  <c r="A1820"/>
  <c r="E1819"/>
  <c r="C1819"/>
  <c r="B1819"/>
  <c r="A1819"/>
  <c r="E1818"/>
  <c r="C1818"/>
  <c r="B1818"/>
  <c r="A1818"/>
  <c r="E1817"/>
  <c r="C1817"/>
  <c r="B1817"/>
  <c r="A1817"/>
  <c r="E1816"/>
  <c r="C1816"/>
  <c r="B1816"/>
  <c r="A1816"/>
  <c r="E1815"/>
  <c r="C1815"/>
  <c r="B1815"/>
  <c r="A1815"/>
  <c r="E1814"/>
  <c r="C1814"/>
  <c r="B1814"/>
  <c r="A1814"/>
  <c r="E1813"/>
  <c r="C1813"/>
  <c r="B1813"/>
  <c r="A1813"/>
  <c r="E1812"/>
  <c r="C1812"/>
  <c r="B1812"/>
  <c r="A1812"/>
  <c r="E1811"/>
  <c r="C1811"/>
  <c r="B1811"/>
  <c r="A1811"/>
  <c r="E1810"/>
  <c r="C1810"/>
  <c r="B1810"/>
  <c r="A1810"/>
  <c r="E1809"/>
  <c r="C1809"/>
  <c r="B1809"/>
  <c r="A1809"/>
  <c r="E1808"/>
  <c r="C1808"/>
  <c r="B1808"/>
  <c r="A1808"/>
  <c r="E1807"/>
  <c r="C1807"/>
  <c r="B1807"/>
  <c r="A1807"/>
  <c r="E1806"/>
  <c r="C1806"/>
  <c r="B1806"/>
  <c r="A1806"/>
  <c r="E1805"/>
  <c r="C1805"/>
  <c r="B1805"/>
  <c r="A1805"/>
  <c r="E1804"/>
  <c r="C1804"/>
  <c r="B1804"/>
  <c r="A1804"/>
  <c r="E1803"/>
  <c r="C1803"/>
  <c r="B1803"/>
  <c r="A1803"/>
  <c r="E1802"/>
  <c r="C1802"/>
  <c r="B1802"/>
  <c r="A1802"/>
  <c r="E1801"/>
  <c r="C1801"/>
  <c r="B1801"/>
  <c r="A1801"/>
  <c r="E1800"/>
  <c r="C1800"/>
  <c r="B1800"/>
  <c r="A1800"/>
  <c r="E1799"/>
  <c r="C1799"/>
  <c r="B1799"/>
  <c r="A1799"/>
  <c r="E1798"/>
  <c r="C1798"/>
  <c r="B1798"/>
  <c r="A1798"/>
  <c r="E1797"/>
  <c r="C1797"/>
  <c r="B1797"/>
  <c r="A1797"/>
  <c r="E1796"/>
  <c r="C1796"/>
  <c r="B1796"/>
  <c r="A1796"/>
  <c r="E1795"/>
  <c r="C1795"/>
  <c r="B1795"/>
  <c r="A1795"/>
  <c r="E1794"/>
  <c r="C1794"/>
  <c r="B1794"/>
  <c r="A1794"/>
  <c r="E1793"/>
  <c r="C1793"/>
  <c r="B1793"/>
  <c r="A1793"/>
  <c r="E1792"/>
  <c r="C1792"/>
  <c r="B1792"/>
  <c r="A1792"/>
  <c r="E1791"/>
  <c r="C1791"/>
  <c r="B1791"/>
  <c r="A1791"/>
  <c r="E1790"/>
  <c r="C1790"/>
  <c r="B1790"/>
  <c r="A1790"/>
  <c r="E1789"/>
  <c r="C1789"/>
  <c r="B1789"/>
  <c r="A1789"/>
  <c r="E1788"/>
  <c r="C1788"/>
  <c r="B1788"/>
  <c r="A1788"/>
  <c r="E1787"/>
  <c r="C1787"/>
  <c r="B1787"/>
  <c r="A1787"/>
  <c r="E1786"/>
  <c r="C1786"/>
  <c r="B1786"/>
  <c r="A1786"/>
  <c r="E1785"/>
  <c r="C1785"/>
  <c r="B1785"/>
  <c r="A1785"/>
  <c r="E1784"/>
  <c r="C1784"/>
  <c r="B1784"/>
  <c r="A1784"/>
  <c r="E1783"/>
  <c r="C1783"/>
  <c r="B1783"/>
  <c r="A1783"/>
  <c r="E1782"/>
  <c r="C1782"/>
  <c r="B1782"/>
  <c r="A1782"/>
  <c r="E1781"/>
  <c r="C1781"/>
  <c r="B1781"/>
  <c r="A1781"/>
  <c r="E1780"/>
  <c r="C1780"/>
  <c r="B1780"/>
  <c r="A1780"/>
  <c r="E1779"/>
  <c r="C1779"/>
  <c r="B1779"/>
  <c r="A1779"/>
  <c r="E1778"/>
  <c r="C1778"/>
  <c r="B1778"/>
  <c r="A1778"/>
  <c r="E1777"/>
  <c r="C1777"/>
  <c r="B1777"/>
  <c r="A1777"/>
  <c r="E1776"/>
  <c r="C1776"/>
  <c r="B1776"/>
  <c r="A1776"/>
  <c r="E1775"/>
  <c r="C1775"/>
  <c r="B1775"/>
  <c r="A1775"/>
  <c r="E1774"/>
  <c r="C1774"/>
  <c r="B1774"/>
  <c r="A1774"/>
  <c r="E1773"/>
  <c r="C1773"/>
  <c r="B1773"/>
  <c r="A1773"/>
  <c r="E1772"/>
  <c r="C1772"/>
  <c r="B1772"/>
  <c r="A1772"/>
  <c r="E1771"/>
  <c r="C1771"/>
  <c r="B1771"/>
  <c r="A1771"/>
  <c r="E1770"/>
  <c r="C1770"/>
  <c r="B1770"/>
  <c r="A1770"/>
  <c r="E1769"/>
  <c r="C1769"/>
  <c r="B1769"/>
  <c r="A1769"/>
  <c r="E1768"/>
  <c r="C1768"/>
  <c r="B1768"/>
  <c r="A1768"/>
  <c r="E1767"/>
  <c r="C1767"/>
  <c r="B1767"/>
  <c r="A1767"/>
  <c r="E1766"/>
  <c r="C1766"/>
  <c r="B1766"/>
  <c r="A1766"/>
  <c r="E1765"/>
  <c r="C1765"/>
  <c r="B1765"/>
  <c r="A1765"/>
  <c r="E1764"/>
  <c r="C1764"/>
  <c r="B1764"/>
  <c r="A1764"/>
  <c r="E1763"/>
  <c r="C1763"/>
  <c r="B1763"/>
  <c r="A1763"/>
  <c r="E1762"/>
  <c r="C1762"/>
  <c r="B1762"/>
  <c r="A1762"/>
  <c r="E1761"/>
  <c r="C1761"/>
  <c r="B1761"/>
  <c r="A1761"/>
  <c r="E1760"/>
  <c r="C1760"/>
  <c r="B1760"/>
  <c r="A1760"/>
  <c r="E1759"/>
  <c r="C1759"/>
  <c r="B1759"/>
  <c r="A1759"/>
  <c r="E1758"/>
  <c r="C1758"/>
  <c r="B1758"/>
  <c r="A1758"/>
  <c r="E1757"/>
  <c r="C1757"/>
  <c r="B1757"/>
  <c r="A1757"/>
  <c r="E1756"/>
  <c r="C1756"/>
  <c r="B1756"/>
  <c r="A1756"/>
  <c r="E1755"/>
  <c r="C1755"/>
  <c r="B1755"/>
  <c r="A1755"/>
  <c r="E1754"/>
  <c r="C1754"/>
  <c r="B1754"/>
  <c r="A1754"/>
  <c r="E1753"/>
  <c r="C1753"/>
  <c r="B1753"/>
  <c r="A1753"/>
  <c r="E1752"/>
  <c r="C1752"/>
  <c r="B1752"/>
  <c r="A1752"/>
  <c r="E1751"/>
  <c r="C1751"/>
  <c r="B1751"/>
  <c r="A1751"/>
  <c r="E1750"/>
  <c r="C1750"/>
  <c r="B1750"/>
  <c r="A1750"/>
  <c r="E1749"/>
  <c r="C1749"/>
  <c r="B1749"/>
  <c r="A1749"/>
  <c r="E1748"/>
  <c r="C1748"/>
  <c r="B1748"/>
  <c r="A1748"/>
  <c r="E1747"/>
  <c r="C1747"/>
  <c r="B1747"/>
  <c r="A1747"/>
  <c r="E1746"/>
  <c r="C1746"/>
  <c r="B1746"/>
  <c r="A1746"/>
  <c r="E1745"/>
  <c r="C1745"/>
  <c r="B1745"/>
  <c r="A1745"/>
  <c r="E1744"/>
  <c r="C1744"/>
  <c r="B1744"/>
  <c r="A1744"/>
  <c r="E1743"/>
  <c r="C1743"/>
  <c r="B1743"/>
  <c r="A1743"/>
  <c r="E1742"/>
  <c r="C1742"/>
  <c r="B1742"/>
  <c r="A1742"/>
  <c r="E1741"/>
  <c r="C1741"/>
  <c r="B1741"/>
  <c r="A1741"/>
  <c r="E1740"/>
  <c r="C1740"/>
  <c r="B1740"/>
  <c r="A1740"/>
  <c r="E1739"/>
  <c r="C1739"/>
  <c r="B1739"/>
  <c r="A1739"/>
  <c r="E1738"/>
  <c r="C1738"/>
  <c r="B1738"/>
  <c r="A1738"/>
  <c r="E1737"/>
  <c r="C1737"/>
  <c r="B1737"/>
  <c r="A1737"/>
  <c r="E1736"/>
  <c r="C1736"/>
  <c r="B1736"/>
  <c r="A1736"/>
  <c r="E1735"/>
  <c r="C1735"/>
  <c r="B1735"/>
  <c r="A1735"/>
  <c r="E1734"/>
  <c r="C1734"/>
  <c r="B1734"/>
  <c r="A1734"/>
  <c r="E1733"/>
  <c r="C1733"/>
  <c r="B1733"/>
  <c r="A1733"/>
  <c r="E1732"/>
  <c r="C1732"/>
  <c r="B1732"/>
  <c r="A1732"/>
  <c r="E1731"/>
  <c r="C1731"/>
  <c r="B1731"/>
  <c r="A1731"/>
  <c r="E1730"/>
  <c r="C1730"/>
  <c r="B1730"/>
  <c r="A1730"/>
  <c r="E1729"/>
  <c r="C1729"/>
  <c r="B1729"/>
  <c r="A1729"/>
  <c r="E1728"/>
  <c r="C1728"/>
  <c r="B1728"/>
  <c r="A1728"/>
  <c r="E1727"/>
  <c r="C1727"/>
  <c r="B1727"/>
  <c r="A1727"/>
  <c r="E1726"/>
  <c r="C1726"/>
  <c r="B1726"/>
  <c r="A1726"/>
  <c r="E1725"/>
  <c r="C1725"/>
  <c r="B1725"/>
  <c r="A1725"/>
  <c r="E1724"/>
  <c r="C1724"/>
  <c r="B1724"/>
  <c r="A1724"/>
  <c r="E1723"/>
  <c r="C1723"/>
  <c r="B1723"/>
  <c r="A1723"/>
  <c r="E1722"/>
  <c r="C1722"/>
  <c r="B1722"/>
  <c r="A1722"/>
  <c r="E1721"/>
  <c r="C1721"/>
  <c r="B1721"/>
  <c r="A1721"/>
  <c r="E1720"/>
  <c r="C1720"/>
  <c r="B1720"/>
  <c r="A1720"/>
  <c r="E1719"/>
  <c r="C1719"/>
  <c r="B1719"/>
  <c r="A1719"/>
  <c r="E1718"/>
  <c r="C1718"/>
  <c r="B1718"/>
  <c r="A1718"/>
  <c r="E1717"/>
  <c r="C1717"/>
  <c r="B1717"/>
  <c r="A1717"/>
  <c r="E1716"/>
  <c r="C1716"/>
  <c r="B1716"/>
  <c r="A1716"/>
  <c r="E1715"/>
  <c r="C1715"/>
  <c r="B1715"/>
  <c r="A1715"/>
  <c r="E1714"/>
  <c r="C1714"/>
  <c r="B1714"/>
  <c r="A1714"/>
  <c r="E1713"/>
  <c r="C1713"/>
  <c r="B1713"/>
  <c r="A1713"/>
  <c r="E1712"/>
  <c r="C1712"/>
  <c r="B1712"/>
  <c r="A1712"/>
  <c r="E1711"/>
  <c r="C1711"/>
  <c r="B1711"/>
  <c r="A1711"/>
  <c r="E1710"/>
  <c r="C1710"/>
  <c r="B1710"/>
  <c r="A1710"/>
  <c r="E1709"/>
  <c r="C1709"/>
  <c r="B1709"/>
  <c r="A1709"/>
  <c r="E1708"/>
  <c r="C1708"/>
  <c r="B1708"/>
  <c r="A1708"/>
  <c r="E1707"/>
  <c r="C1707"/>
  <c r="B1707"/>
  <c r="A1707"/>
  <c r="E1706"/>
  <c r="C1706"/>
  <c r="B1706"/>
  <c r="A1706"/>
  <c r="E1705"/>
  <c r="C1705"/>
  <c r="B1705"/>
  <c r="A1705"/>
  <c r="E1704"/>
  <c r="C1704"/>
  <c r="B1704"/>
  <c r="A1704"/>
  <c r="E1703"/>
  <c r="C1703"/>
  <c r="B1703"/>
  <c r="A1703"/>
  <c r="E1702"/>
  <c r="C1702"/>
  <c r="B1702"/>
  <c r="A1702"/>
  <c r="E1701"/>
  <c r="C1701"/>
  <c r="B1701"/>
  <c r="A1701"/>
  <c r="E1700"/>
  <c r="C1700"/>
  <c r="B1700"/>
  <c r="A1700"/>
  <c r="E1699"/>
  <c r="C1699"/>
  <c r="B1699"/>
  <c r="A1699"/>
  <c r="E1698"/>
  <c r="C1698"/>
  <c r="B1698"/>
  <c r="A1698"/>
  <c r="E1697"/>
  <c r="C1697"/>
  <c r="B1697"/>
  <c r="A1697"/>
  <c r="E1696"/>
  <c r="C1696"/>
  <c r="B1696"/>
  <c r="A1696"/>
  <c r="E1695"/>
  <c r="C1695"/>
  <c r="B1695"/>
  <c r="A1695"/>
  <c r="E1694"/>
  <c r="C1694"/>
  <c r="B1694"/>
  <c r="A1694"/>
  <c r="E1693"/>
  <c r="C1693"/>
  <c r="B1693"/>
  <c r="A1693"/>
  <c r="E1692"/>
  <c r="C1692"/>
  <c r="B1692"/>
  <c r="A1692"/>
  <c r="E1691"/>
  <c r="C1691"/>
  <c r="B1691"/>
  <c r="A1691"/>
  <c r="E1690"/>
  <c r="C1690"/>
  <c r="B1690"/>
  <c r="A1690"/>
  <c r="E1689"/>
  <c r="C1689"/>
  <c r="B1689"/>
  <c r="A1689"/>
  <c r="E1688"/>
  <c r="C1688"/>
  <c r="B1688"/>
  <c r="A1688"/>
  <c r="E1687"/>
  <c r="C1687"/>
  <c r="B1687"/>
  <c r="A1687"/>
  <c r="E1686"/>
  <c r="C1686"/>
  <c r="B1686"/>
  <c r="A1686"/>
  <c r="E1685"/>
  <c r="C1685"/>
  <c r="B1685"/>
  <c r="A1685"/>
  <c r="E1684"/>
  <c r="C1684"/>
  <c r="B1684"/>
  <c r="A1684"/>
  <c r="E1683"/>
  <c r="C1683"/>
  <c r="B1683"/>
  <c r="A1683"/>
  <c r="E1682"/>
  <c r="C1682"/>
  <c r="B1682"/>
  <c r="A1682"/>
  <c r="E1681"/>
  <c r="C1681"/>
  <c r="B1681"/>
  <c r="A1681"/>
  <c r="E1680"/>
  <c r="C1680"/>
  <c r="B1680"/>
  <c r="A1680"/>
  <c r="E1679"/>
  <c r="C1679"/>
  <c r="B1679"/>
  <c r="A1679"/>
  <c r="E1678"/>
  <c r="C1678"/>
  <c r="B1678"/>
  <c r="A1678"/>
  <c r="E1677"/>
  <c r="C1677"/>
  <c r="B1677"/>
  <c r="A1677"/>
  <c r="E1676"/>
  <c r="C1676"/>
  <c r="B1676"/>
  <c r="A1676"/>
  <c r="E1675"/>
  <c r="C1675"/>
  <c r="B1675"/>
  <c r="A1675"/>
  <c r="E1674"/>
  <c r="C1674"/>
  <c r="B1674"/>
  <c r="A1674"/>
  <c r="E1673"/>
  <c r="C1673"/>
  <c r="B1673"/>
  <c r="A1673"/>
  <c r="E1672"/>
  <c r="C1672"/>
  <c r="B1672"/>
  <c r="A1672"/>
  <c r="E1671"/>
  <c r="C1671"/>
  <c r="B1671"/>
  <c r="A1671"/>
  <c r="E1670"/>
  <c r="C1670"/>
  <c r="B1670"/>
  <c r="A1670"/>
  <c r="E1669"/>
  <c r="C1669"/>
  <c r="B1669"/>
  <c r="A1669"/>
  <c r="E1668"/>
  <c r="C1668"/>
  <c r="B1668"/>
  <c r="A1668"/>
  <c r="E1667"/>
  <c r="C1667"/>
  <c r="B1667"/>
  <c r="A1667"/>
  <c r="E1666"/>
  <c r="C1666"/>
  <c r="B1666"/>
  <c r="A1666"/>
  <c r="E1665"/>
  <c r="C1665"/>
  <c r="B1665"/>
  <c r="A1665"/>
  <c r="E1664"/>
  <c r="C1664"/>
  <c r="B1664"/>
  <c r="A1664"/>
  <c r="E1663"/>
  <c r="C1663"/>
  <c r="B1663"/>
  <c r="A1663"/>
  <c r="E1662"/>
  <c r="C1662"/>
  <c r="B1662"/>
  <c r="A1662"/>
  <c r="E1661"/>
  <c r="C1661"/>
  <c r="B1661"/>
  <c r="A1661"/>
  <c r="E1660"/>
  <c r="C1660"/>
  <c r="B1660"/>
  <c r="A1660"/>
  <c r="E1659"/>
  <c r="C1659"/>
  <c r="B1659"/>
  <c r="A1659"/>
  <c r="E1658"/>
  <c r="C1658"/>
  <c r="B1658"/>
  <c r="A1658"/>
  <c r="E1657"/>
  <c r="C1657"/>
  <c r="B1657"/>
  <c r="A1657"/>
  <c r="E1656"/>
  <c r="C1656"/>
  <c r="B1656"/>
  <c r="A1656"/>
  <c r="E1655"/>
  <c r="C1655"/>
  <c r="B1655"/>
  <c r="A1655"/>
  <c r="E1654"/>
  <c r="C1654"/>
  <c r="B1654"/>
  <c r="A1654"/>
  <c r="E1653"/>
  <c r="C1653"/>
  <c r="B1653"/>
  <c r="A1653"/>
  <c r="E1652"/>
  <c r="C1652"/>
  <c r="B1652"/>
  <c r="A1652"/>
  <c r="E1651"/>
  <c r="C1651"/>
  <c r="B1651"/>
  <c r="A1651"/>
  <c r="E1650"/>
  <c r="C1650"/>
  <c r="B1650"/>
  <c r="A1650"/>
  <c r="E1649"/>
  <c r="C1649"/>
  <c r="B1649"/>
  <c r="A1649"/>
  <c r="E1648"/>
  <c r="C1648"/>
  <c r="B1648"/>
  <c r="A1648"/>
  <c r="E1647"/>
  <c r="C1647"/>
  <c r="B1647"/>
  <c r="A1647"/>
  <c r="E1646"/>
  <c r="C1646"/>
  <c r="B1646"/>
  <c r="A1646"/>
  <c r="E1645"/>
  <c r="C1645"/>
  <c r="B1645"/>
  <c r="A1645"/>
  <c r="E1644"/>
  <c r="C1644"/>
  <c r="B1644"/>
  <c r="A1644"/>
  <c r="E1643"/>
  <c r="C1643"/>
  <c r="B1643"/>
  <c r="A1643"/>
  <c r="E1642"/>
  <c r="C1642"/>
  <c r="B1642"/>
  <c r="A1642"/>
  <c r="E1641"/>
  <c r="C1641"/>
  <c r="B1641"/>
  <c r="A1641"/>
  <c r="E1640"/>
  <c r="C1640"/>
  <c r="B1640"/>
  <c r="A1640"/>
  <c r="E1639"/>
  <c r="C1639"/>
  <c r="B1639"/>
  <c r="A1639"/>
  <c r="E1638"/>
  <c r="C1638"/>
  <c r="B1638"/>
  <c r="A1638"/>
  <c r="E1637"/>
  <c r="C1637"/>
  <c r="B1637"/>
  <c r="A1637"/>
  <c r="E1636"/>
  <c r="C1636"/>
  <c r="B1636"/>
  <c r="A1636"/>
  <c r="E1635"/>
  <c r="C1635"/>
  <c r="B1635"/>
  <c r="A1635"/>
  <c r="E1634"/>
  <c r="C1634"/>
  <c r="B1634"/>
  <c r="A1634"/>
  <c r="E1633"/>
  <c r="C1633"/>
  <c r="B1633"/>
  <c r="A1633"/>
  <c r="E1632"/>
  <c r="C1632"/>
  <c r="B1632"/>
  <c r="A1632"/>
  <c r="E1631"/>
  <c r="C1631"/>
  <c r="B1631"/>
  <c r="A1631"/>
  <c r="E1630"/>
  <c r="C1630"/>
  <c r="B1630"/>
  <c r="A1630"/>
  <c r="E1629"/>
  <c r="C1629"/>
  <c r="B1629"/>
  <c r="A1629"/>
  <c r="E1628"/>
  <c r="C1628"/>
  <c r="B1628"/>
  <c r="A1628"/>
  <c r="E1627"/>
  <c r="C1627"/>
  <c r="B1627"/>
  <c r="A1627"/>
  <c r="E1626"/>
  <c r="C1626"/>
  <c r="B1626"/>
  <c r="A1626"/>
  <c r="E1625"/>
  <c r="C1625"/>
  <c r="B1625"/>
  <c r="A1625"/>
  <c r="E1624"/>
  <c r="C1624"/>
  <c r="B1624"/>
  <c r="A1624"/>
  <c r="E1623"/>
  <c r="C1623"/>
  <c r="B1623"/>
  <c r="A1623"/>
  <c r="E1622"/>
  <c r="C1622"/>
  <c r="B1622"/>
  <c r="A1622"/>
  <c r="E1621"/>
  <c r="C1621"/>
  <c r="B1621"/>
  <c r="A1621"/>
  <c r="E1620"/>
  <c r="C1620"/>
  <c r="B1620"/>
  <c r="A1620"/>
  <c r="E1619"/>
  <c r="C1619"/>
  <c r="B1619"/>
  <c r="A1619"/>
  <c r="E1618"/>
  <c r="C1618"/>
  <c r="B1618"/>
  <c r="A1618"/>
  <c r="E1617"/>
  <c r="C1617"/>
  <c r="B1617"/>
  <c r="A1617"/>
  <c r="E1616"/>
  <c r="C1616"/>
  <c r="B1616"/>
  <c r="A1616"/>
  <c r="E1615"/>
  <c r="C1615"/>
  <c r="B1615"/>
  <c r="A1615"/>
  <c r="E1614"/>
  <c r="C1614"/>
  <c r="B1614"/>
  <c r="A1614"/>
  <c r="E1613"/>
  <c r="C1613"/>
  <c r="B1613"/>
  <c r="A1613"/>
  <c r="E1612"/>
  <c r="C1612"/>
  <c r="B1612"/>
  <c r="A1612"/>
  <c r="E1611"/>
  <c r="C1611"/>
  <c r="B1611"/>
  <c r="A1611"/>
  <c r="E1610"/>
  <c r="C1610"/>
  <c r="B1610"/>
  <c r="A1610"/>
  <c r="E1609"/>
  <c r="C1609"/>
  <c r="B1609"/>
  <c r="A1609"/>
  <c r="E1608"/>
  <c r="C1608"/>
  <c r="B1608"/>
  <c r="A1608"/>
  <c r="E1607"/>
  <c r="C1607"/>
  <c r="B1607"/>
  <c r="A1607"/>
  <c r="E1606"/>
  <c r="C1606"/>
  <c r="B1606"/>
  <c r="A1606"/>
  <c r="E1605"/>
  <c r="C1605"/>
  <c r="B1605"/>
  <c r="A1605"/>
  <c r="E1604"/>
  <c r="C1604"/>
  <c r="B1604"/>
  <c r="A1604"/>
  <c r="E1603"/>
  <c r="C1603"/>
  <c r="B1603"/>
  <c r="A1603"/>
  <c r="E1602"/>
  <c r="C1602"/>
  <c r="B1602"/>
  <c r="A1602"/>
  <c r="E1601"/>
  <c r="C1601"/>
  <c r="B1601"/>
  <c r="A1601"/>
  <c r="E1600"/>
  <c r="C1600"/>
  <c r="B1600"/>
  <c r="A1600"/>
  <c r="E1599"/>
  <c r="C1599"/>
  <c r="B1599"/>
  <c r="A1599"/>
  <c r="E1598"/>
  <c r="C1598"/>
  <c r="B1598"/>
  <c r="A1598"/>
  <c r="E1597"/>
  <c r="C1597"/>
  <c r="B1597"/>
  <c r="A1597"/>
  <c r="E1596"/>
  <c r="C1596"/>
  <c r="B1596"/>
  <c r="A1596"/>
  <c r="E1595"/>
  <c r="C1595"/>
  <c r="B1595"/>
  <c r="A1595"/>
  <c r="E1594"/>
  <c r="C1594"/>
  <c r="B1594"/>
  <c r="A1594"/>
  <c r="E1593"/>
  <c r="C1593"/>
  <c r="B1593"/>
  <c r="A1593"/>
  <c r="E1592"/>
  <c r="C1592"/>
  <c r="B1592"/>
  <c r="A1592"/>
  <c r="E1591"/>
  <c r="C1591"/>
  <c r="B1591"/>
  <c r="A1591"/>
  <c r="E1590"/>
  <c r="C1590"/>
  <c r="B1590"/>
  <c r="A1590"/>
  <c r="E1589"/>
  <c r="C1589"/>
  <c r="B1589"/>
  <c r="A1589"/>
  <c r="E1588"/>
  <c r="C1588"/>
  <c r="B1588"/>
  <c r="A1588"/>
  <c r="E1587"/>
  <c r="C1587"/>
  <c r="B1587"/>
  <c r="A1587"/>
  <c r="E1586"/>
  <c r="C1586"/>
  <c r="B1586"/>
  <c r="A1586"/>
  <c r="E1585"/>
  <c r="C1585"/>
  <c r="B1585"/>
  <c r="A1585"/>
  <c r="E1584"/>
  <c r="C1584"/>
  <c r="B1584"/>
  <c r="A1584"/>
  <c r="E1583"/>
  <c r="C1583"/>
  <c r="B1583"/>
  <c r="A1583"/>
  <c r="E1582"/>
  <c r="C1582"/>
  <c r="B1582"/>
  <c r="A1582"/>
  <c r="E1581"/>
  <c r="C1581"/>
  <c r="B1581"/>
  <c r="A1581"/>
  <c r="E1580"/>
  <c r="C1580"/>
  <c r="B1580"/>
  <c r="A1580"/>
  <c r="E1579"/>
  <c r="C1579"/>
  <c r="B1579"/>
  <c r="A1579"/>
  <c r="E1578"/>
  <c r="C1578"/>
  <c r="B1578"/>
  <c r="A1578"/>
  <c r="E1577"/>
  <c r="C1577"/>
  <c r="B1577"/>
  <c r="A1577"/>
  <c r="E1576"/>
  <c r="C1576"/>
  <c r="B1576"/>
  <c r="A1576"/>
  <c r="E1575"/>
  <c r="C1575"/>
  <c r="B1575"/>
  <c r="A1575"/>
  <c r="E1574"/>
  <c r="C1574"/>
  <c r="B1574"/>
  <c r="A1574"/>
  <c r="E1573"/>
  <c r="C1573"/>
  <c r="B1573"/>
  <c r="A1573"/>
  <c r="E1572"/>
  <c r="C1572"/>
  <c r="B1572"/>
  <c r="A1572"/>
  <c r="E1571"/>
  <c r="C1571"/>
  <c r="B1571"/>
  <c r="A1571"/>
  <c r="E1570"/>
  <c r="C1570"/>
  <c r="B1570"/>
  <c r="A1570"/>
  <c r="E1569"/>
  <c r="C1569"/>
  <c r="B1569"/>
  <c r="A1569"/>
  <c r="E1568"/>
  <c r="C1568"/>
  <c r="B1568"/>
  <c r="A1568"/>
  <c r="E1567"/>
  <c r="C1567"/>
  <c r="B1567"/>
  <c r="A1567"/>
  <c r="E1566"/>
  <c r="C1566"/>
  <c r="B1566"/>
  <c r="A1566"/>
  <c r="E1565"/>
  <c r="C1565"/>
  <c r="B1565"/>
  <c r="A1565"/>
  <c r="E1564"/>
  <c r="C1564"/>
  <c r="B1564"/>
  <c r="A1564"/>
  <c r="E1563"/>
  <c r="C1563"/>
  <c r="B1563"/>
  <c r="A1563"/>
  <c r="E1562"/>
  <c r="C1562"/>
  <c r="B1562"/>
  <c r="A1562"/>
  <c r="E1561"/>
  <c r="C1561"/>
  <c r="B1561"/>
  <c r="A1561"/>
  <c r="E1560"/>
  <c r="C1560"/>
  <c r="B1560"/>
  <c r="A1560"/>
  <c r="E1559"/>
  <c r="C1559"/>
  <c r="B1559"/>
  <c r="A1559"/>
  <c r="E1558"/>
  <c r="C1558"/>
  <c r="B1558"/>
  <c r="A1558"/>
  <c r="E1557"/>
  <c r="C1557"/>
  <c r="B1557"/>
  <c r="A1557"/>
  <c r="E1556"/>
  <c r="C1556"/>
  <c r="B1556"/>
  <c r="A1556"/>
  <c r="E1555"/>
  <c r="C1555"/>
  <c r="B1555"/>
  <c r="A1555"/>
  <c r="E1554"/>
  <c r="C1554"/>
  <c r="B1554"/>
  <c r="A1554"/>
  <c r="E1553"/>
  <c r="C1553"/>
  <c r="B1553"/>
  <c r="A1553"/>
  <c r="E1552"/>
  <c r="C1552"/>
  <c r="B1552"/>
  <c r="A1552"/>
  <c r="E1551"/>
  <c r="C1551"/>
  <c r="B1551"/>
  <c r="A1551"/>
  <c r="E1550"/>
  <c r="C1550"/>
  <c r="B1550"/>
  <c r="A1550"/>
  <c r="E1549"/>
  <c r="C1549"/>
  <c r="B1549"/>
  <c r="A1549"/>
  <c r="E1548"/>
  <c r="C1548"/>
  <c r="B1548"/>
  <c r="A1548"/>
  <c r="E1547"/>
  <c r="C1547"/>
  <c r="B1547"/>
  <c r="A1547"/>
  <c r="E1546"/>
  <c r="C1546"/>
  <c r="B1546"/>
  <c r="A1546"/>
  <c r="E1545"/>
  <c r="C1545"/>
  <c r="B1545"/>
  <c r="A1545"/>
  <c r="E1544"/>
  <c r="C1544"/>
  <c r="B1544"/>
  <c r="A1544"/>
  <c r="E1543"/>
  <c r="C1543"/>
  <c r="B1543"/>
  <c r="A1543"/>
  <c r="E1542"/>
  <c r="C1542"/>
  <c r="B1542"/>
  <c r="A1542"/>
  <c r="E1541"/>
  <c r="C1541"/>
  <c r="B1541"/>
  <c r="A1541"/>
  <c r="E1540"/>
  <c r="C1540"/>
  <c r="B1540"/>
  <c r="A1540"/>
  <c r="E1539"/>
  <c r="C1539"/>
  <c r="B1539"/>
  <c r="A1539"/>
  <c r="E1538"/>
  <c r="C1538"/>
  <c r="B1538"/>
  <c r="A1538"/>
  <c r="E1537"/>
  <c r="C1537"/>
  <c r="B1537"/>
  <c r="A1537"/>
  <c r="E1536"/>
  <c r="C1536"/>
  <c r="B1536"/>
  <c r="A1536"/>
  <c r="E1535"/>
  <c r="C1535"/>
  <c r="B1535"/>
  <c r="A1535"/>
  <c r="E1534"/>
  <c r="C1534"/>
  <c r="B1534"/>
  <c r="A1534"/>
  <c r="E1533"/>
  <c r="C1533"/>
  <c r="B1533"/>
  <c r="A1533"/>
  <c r="E1532"/>
  <c r="C1532"/>
  <c r="B1532"/>
  <c r="A1532"/>
  <c r="E1531"/>
  <c r="C1531"/>
  <c r="B1531"/>
  <c r="A1531"/>
  <c r="E1530"/>
  <c r="C1530"/>
  <c r="B1530"/>
  <c r="A1530"/>
  <c r="E1529"/>
  <c r="C1529"/>
  <c r="B1529"/>
  <c r="A1529"/>
  <c r="E1528"/>
  <c r="C1528"/>
  <c r="B1528"/>
  <c r="A1528"/>
  <c r="E1527"/>
  <c r="C1527"/>
  <c r="B1527"/>
  <c r="A1527"/>
  <c r="E1526"/>
  <c r="C1526"/>
  <c r="B1526"/>
  <c r="A1526"/>
  <c r="E1525"/>
  <c r="C1525"/>
  <c r="B1525"/>
  <c r="A1525"/>
  <c r="E1524"/>
  <c r="C1524"/>
  <c r="B1524"/>
  <c r="A1524"/>
  <c r="E1523"/>
  <c r="C1523"/>
  <c r="B1523"/>
  <c r="A1523"/>
  <c r="E1522"/>
  <c r="C1522"/>
  <c r="B1522"/>
  <c r="A1522"/>
  <c r="E1521"/>
  <c r="C1521"/>
  <c r="B1521"/>
  <c r="A1521"/>
  <c r="E1520"/>
  <c r="C1520"/>
  <c r="B1520"/>
  <c r="A1520"/>
  <c r="E1519"/>
  <c r="C1519"/>
  <c r="B1519"/>
  <c r="A1519"/>
  <c r="E1518"/>
  <c r="C1518"/>
  <c r="B1518"/>
  <c r="A1518"/>
  <c r="E1517"/>
  <c r="C1517"/>
  <c r="B1517"/>
  <c r="A1517"/>
  <c r="E1516"/>
  <c r="C1516"/>
  <c r="B1516"/>
  <c r="A1516"/>
  <c r="E1515"/>
  <c r="C1515"/>
  <c r="B1515"/>
  <c r="A1515"/>
  <c r="E1514"/>
  <c r="C1514"/>
  <c r="B1514"/>
  <c r="A1514"/>
  <c r="E1513"/>
  <c r="C1513"/>
  <c r="B1513"/>
  <c r="A1513"/>
  <c r="E1512"/>
  <c r="C1512"/>
  <c r="B1512"/>
  <c r="A1512"/>
  <c r="E1511"/>
  <c r="C1511"/>
  <c r="B1511"/>
  <c r="A1511"/>
  <c r="E1510"/>
  <c r="C1510"/>
  <c r="B1510"/>
  <c r="A1510"/>
  <c r="E1509"/>
  <c r="C1509"/>
  <c r="B1509"/>
  <c r="A1509"/>
  <c r="E1508"/>
  <c r="C1508"/>
  <c r="B1508"/>
  <c r="A1508"/>
  <c r="E1507"/>
  <c r="C1507"/>
  <c r="B1507"/>
  <c r="A1507"/>
  <c r="E1506"/>
  <c r="C1506"/>
  <c r="B1506"/>
  <c r="A1506"/>
  <c r="E1505"/>
  <c r="C1505"/>
  <c r="B1505"/>
  <c r="A1505"/>
  <c r="E1504"/>
  <c r="C1504"/>
  <c r="B1504"/>
  <c r="A1504"/>
  <c r="E1503"/>
  <c r="C1503"/>
  <c r="B1503"/>
  <c r="A1503"/>
  <c r="E1502"/>
  <c r="C1502"/>
  <c r="B1502"/>
  <c r="A1502"/>
  <c r="E1501"/>
  <c r="C1501"/>
  <c r="B1501"/>
  <c r="A1501"/>
  <c r="E1500"/>
  <c r="C1500"/>
  <c r="B1500"/>
  <c r="A1500"/>
  <c r="E1499"/>
  <c r="C1499"/>
  <c r="B1499"/>
  <c r="A1499"/>
  <c r="E1498"/>
  <c r="C1498"/>
  <c r="B1498"/>
  <c r="A1498"/>
  <c r="E1497"/>
  <c r="C1497"/>
  <c r="B1497"/>
  <c r="A1497"/>
  <c r="E1496"/>
  <c r="C1496"/>
  <c r="B1496"/>
  <c r="A1496"/>
  <c r="E1495"/>
  <c r="C1495"/>
  <c r="B1495"/>
  <c r="A1495"/>
  <c r="E1494"/>
  <c r="C1494"/>
  <c r="B1494"/>
  <c r="A1494"/>
  <c r="E1493"/>
  <c r="C1493"/>
  <c r="B1493"/>
  <c r="A1493"/>
  <c r="E1492"/>
  <c r="C1492"/>
  <c r="B1492"/>
  <c r="A1492"/>
  <c r="E1491"/>
  <c r="C1491"/>
  <c r="B1491"/>
  <c r="A1491"/>
  <c r="E1490"/>
  <c r="C1490"/>
  <c r="B1490"/>
  <c r="A1490"/>
  <c r="E1489"/>
  <c r="C1489"/>
  <c r="B1489"/>
  <c r="A1489"/>
  <c r="E1488"/>
  <c r="C1488"/>
  <c r="B1488"/>
  <c r="A1488"/>
  <c r="E1487"/>
  <c r="C1487"/>
  <c r="B1487"/>
  <c r="A1487"/>
  <c r="E1486"/>
  <c r="C1486"/>
  <c r="B1486"/>
  <c r="A1486"/>
  <c r="E1485"/>
  <c r="C1485"/>
  <c r="B1485"/>
  <c r="A1485"/>
  <c r="E1484"/>
  <c r="C1484"/>
  <c r="B1484"/>
  <c r="A1484"/>
  <c r="E1483"/>
  <c r="C1483"/>
  <c r="B1483"/>
  <c r="A1483"/>
  <c r="E1482"/>
  <c r="C1482"/>
  <c r="B1482"/>
  <c r="A1482"/>
  <c r="E1481"/>
  <c r="C1481"/>
  <c r="B1481"/>
  <c r="A1481"/>
  <c r="E1480"/>
  <c r="C1480"/>
  <c r="B1480"/>
  <c r="A1480"/>
  <c r="E1479"/>
  <c r="C1479"/>
  <c r="B1479"/>
  <c r="A1479"/>
  <c r="E1478"/>
  <c r="C1478"/>
  <c r="B1478"/>
  <c r="A1478"/>
  <c r="E1477"/>
  <c r="C1477"/>
  <c r="B1477"/>
  <c r="A1477"/>
  <c r="E1476"/>
  <c r="C1476"/>
  <c r="B1476"/>
  <c r="A1476"/>
  <c r="E1475"/>
  <c r="C1475"/>
  <c r="B1475"/>
  <c r="A1475"/>
  <c r="E1474"/>
  <c r="C1474"/>
  <c r="B1474"/>
  <c r="A1474"/>
  <c r="E1473"/>
  <c r="C1473"/>
  <c r="B1473"/>
  <c r="A1473"/>
  <c r="E1472"/>
  <c r="C1472"/>
  <c r="B1472"/>
  <c r="A1472"/>
  <c r="E1471"/>
  <c r="C1471"/>
  <c r="B1471"/>
  <c r="A1471"/>
  <c r="E1470"/>
  <c r="C1470"/>
  <c r="B1470"/>
  <c r="A1470"/>
  <c r="E1469"/>
  <c r="C1469"/>
  <c r="B1469"/>
  <c r="A1469"/>
  <c r="E1468"/>
  <c r="C1468"/>
  <c r="B1468"/>
  <c r="A1468"/>
  <c r="E1467"/>
  <c r="C1467"/>
  <c r="B1467"/>
  <c r="A1467"/>
  <c r="E1466"/>
  <c r="C1466"/>
  <c r="B1466"/>
  <c r="A1466"/>
  <c r="E1465"/>
  <c r="C1465"/>
  <c r="B1465"/>
  <c r="A1465"/>
  <c r="E1464"/>
  <c r="C1464"/>
  <c r="B1464"/>
  <c r="A1464"/>
  <c r="E1463"/>
  <c r="C1463"/>
  <c r="B1463"/>
  <c r="A1463"/>
  <c r="E1462"/>
  <c r="C1462"/>
  <c r="B1462"/>
  <c r="A1462"/>
  <c r="E1461"/>
  <c r="C1461"/>
  <c r="B1461"/>
  <c r="A1461"/>
  <c r="E1460"/>
  <c r="C1460"/>
  <c r="B1460"/>
  <c r="A1460"/>
  <c r="E1459"/>
  <c r="C1459"/>
  <c r="B1459"/>
  <c r="A1459"/>
  <c r="E1458"/>
  <c r="C1458"/>
  <c r="B1458"/>
  <c r="A1458"/>
  <c r="E1457"/>
  <c r="C1457"/>
  <c r="B1457"/>
  <c r="A1457"/>
  <c r="E1456"/>
  <c r="C1456"/>
  <c r="B1456"/>
  <c r="A1456"/>
  <c r="E1455"/>
  <c r="C1455"/>
  <c r="B1455"/>
  <c r="A1455"/>
  <c r="E1454"/>
  <c r="C1454"/>
  <c r="B1454"/>
  <c r="A1454"/>
  <c r="E1453"/>
  <c r="C1453"/>
  <c r="B1453"/>
  <c r="A1453"/>
  <c r="E1452"/>
  <c r="C1452"/>
  <c r="B1452"/>
  <c r="A1452"/>
  <c r="E1451"/>
  <c r="C1451"/>
  <c r="B1451"/>
  <c r="A1451"/>
  <c r="E1450"/>
  <c r="C1450"/>
  <c r="B1450"/>
  <c r="A1450"/>
  <c r="E1449"/>
  <c r="C1449"/>
  <c r="B1449"/>
  <c r="A1449"/>
  <c r="E1448"/>
  <c r="C1448"/>
  <c r="B1448"/>
  <c r="A1448"/>
  <c r="E1447"/>
  <c r="C1447"/>
  <c r="B1447"/>
  <c r="A1447"/>
  <c r="E1446"/>
  <c r="C1446"/>
  <c r="B1446"/>
  <c r="A1446"/>
  <c r="E1445"/>
  <c r="C1445"/>
  <c r="B1445"/>
  <c r="A1445"/>
  <c r="E1444"/>
  <c r="C1444"/>
  <c r="B1444"/>
  <c r="A1444"/>
  <c r="E1443"/>
  <c r="C1443"/>
  <c r="B1443"/>
  <c r="A1443"/>
  <c r="E1442"/>
  <c r="C1442"/>
  <c r="B1442"/>
  <c r="A1442"/>
  <c r="E1441"/>
  <c r="C1441"/>
  <c r="B1441"/>
  <c r="A1441"/>
  <c r="E1440"/>
  <c r="C1440"/>
  <c r="B1440"/>
  <c r="A1440"/>
  <c r="E1439"/>
  <c r="C1439"/>
  <c r="B1439"/>
  <c r="A1439"/>
  <c r="E1438"/>
  <c r="C1438"/>
  <c r="B1438"/>
  <c r="A1438"/>
  <c r="E1437"/>
  <c r="C1437"/>
  <c r="B1437"/>
  <c r="A1437"/>
  <c r="E1436"/>
  <c r="C1436"/>
  <c r="B1436"/>
  <c r="A1436"/>
  <c r="E1435"/>
  <c r="C1435"/>
  <c r="B1435"/>
  <c r="A1435"/>
  <c r="E1434"/>
  <c r="C1434"/>
  <c r="B1434"/>
  <c r="A1434"/>
  <c r="E1433"/>
  <c r="C1433"/>
  <c r="B1433"/>
  <c r="A1433"/>
  <c r="E1432"/>
  <c r="C1432"/>
  <c r="B1432"/>
  <c r="A1432"/>
  <c r="E1431"/>
  <c r="C1431"/>
  <c r="B1431"/>
  <c r="A1431"/>
  <c r="E1430"/>
  <c r="C1430"/>
  <c r="B1430"/>
  <c r="A1430"/>
  <c r="E1429"/>
  <c r="C1429"/>
  <c r="B1429"/>
  <c r="A1429"/>
  <c r="E1428"/>
  <c r="C1428"/>
  <c r="B1428"/>
  <c r="A1428"/>
  <c r="E1427"/>
  <c r="C1427"/>
  <c r="B1427"/>
  <c r="A1427"/>
  <c r="E1426"/>
  <c r="C1426"/>
  <c r="B1426"/>
  <c r="A1426"/>
  <c r="E1425"/>
  <c r="C1425"/>
  <c r="B1425"/>
  <c r="A1425"/>
  <c r="E1424"/>
  <c r="C1424"/>
  <c r="B1424"/>
  <c r="A1424"/>
  <c r="E1423"/>
  <c r="C1423"/>
  <c r="B1423"/>
  <c r="A1423"/>
  <c r="E1422"/>
  <c r="C1422"/>
  <c r="B1422"/>
  <c r="A1422"/>
  <c r="E1421"/>
  <c r="C1421"/>
  <c r="B1421"/>
  <c r="A1421"/>
  <c r="E1420"/>
  <c r="C1420"/>
  <c r="B1420"/>
  <c r="A1420"/>
  <c r="E1419"/>
  <c r="C1419"/>
  <c r="B1419"/>
  <c r="A1419"/>
  <c r="E1418"/>
  <c r="C1418"/>
  <c r="B1418"/>
  <c r="A1418"/>
  <c r="E1417"/>
  <c r="C1417"/>
  <c r="B1417"/>
  <c r="A1417"/>
  <c r="E1416"/>
  <c r="C1416"/>
  <c r="B1416"/>
  <c r="A1416"/>
  <c r="E1415"/>
  <c r="C1415"/>
  <c r="B1415"/>
  <c r="A1415"/>
  <c r="E1414"/>
  <c r="C1414"/>
  <c r="B1414"/>
  <c r="A1414"/>
  <c r="E1413"/>
  <c r="C1413"/>
  <c r="B1413"/>
  <c r="A1413"/>
  <c r="E1412"/>
  <c r="C1412"/>
  <c r="B1412"/>
  <c r="A1412"/>
  <c r="E1411"/>
  <c r="C1411"/>
  <c r="B1411"/>
  <c r="A1411"/>
  <c r="E1410"/>
  <c r="C1410"/>
  <c r="B1410"/>
  <c r="A1410"/>
  <c r="E1409"/>
  <c r="C1409"/>
  <c r="B1409"/>
  <c r="A1409"/>
  <c r="E1408"/>
  <c r="C1408"/>
  <c r="B1408"/>
  <c r="A1408"/>
  <c r="E1407"/>
  <c r="C1407"/>
  <c r="B1407"/>
  <c r="A1407"/>
  <c r="E1406"/>
  <c r="C1406"/>
  <c r="B1406"/>
  <c r="A1406"/>
  <c r="E1405"/>
  <c r="C1405"/>
  <c r="B1405"/>
  <c r="A1405"/>
  <c r="E1404"/>
  <c r="C1404"/>
  <c r="B1404"/>
  <c r="A1404"/>
  <c r="E1403"/>
  <c r="C1403"/>
  <c r="B1403"/>
  <c r="A1403"/>
  <c r="E1402"/>
  <c r="C1402"/>
  <c r="B1402"/>
  <c r="A1402"/>
  <c r="E1401"/>
  <c r="C1401"/>
  <c r="B1401"/>
  <c r="A1401"/>
  <c r="E1400"/>
  <c r="C1400"/>
  <c r="B1400"/>
  <c r="A1400"/>
  <c r="E1399"/>
  <c r="C1399"/>
  <c r="B1399"/>
  <c r="A1399"/>
  <c r="E1398"/>
  <c r="C1398"/>
  <c r="B1398"/>
  <c r="A1398"/>
  <c r="E1397"/>
  <c r="C1397"/>
  <c r="B1397"/>
  <c r="A1397"/>
  <c r="E1396"/>
  <c r="C1396"/>
  <c r="B1396"/>
  <c r="A1396"/>
  <c r="E1395"/>
  <c r="C1395"/>
  <c r="B1395"/>
  <c r="A1395"/>
  <c r="E1394"/>
  <c r="C1394"/>
  <c r="B1394"/>
  <c r="A1394"/>
  <c r="E1393"/>
  <c r="C1393"/>
  <c r="B1393"/>
  <c r="A1393"/>
  <c r="E1392"/>
  <c r="C1392"/>
  <c r="B1392"/>
  <c r="A1392"/>
  <c r="E1391"/>
  <c r="C1391"/>
  <c r="B1391"/>
  <c r="A1391"/>
  <c r="E1390"/>
  <c r="C1390"/>
  <c r="B1390"/>
  <c r="A1390"/>
  <c r="E1389"/>
  <c r="C1389"/>
  <c r="B1389"/>
  <c r="A1389"/>
  <c r="E1388"/>
  <c r="C1388"/>
  <c r="B1388"/>
  <c r="A1388"/>
  <c r="E1387"/>
  <c r="C1387"/>
  <c r="B1387"/>
  <c r="A1387"/>
  <c r="E1386"/>
  <c r="C1386"/>
  <c r="B1386"/>
  <c r="A1386"/>
  <c r="E1385"/>
  <c r="C1385"/>
  <c r="B1385"/>
  <c r="A1385"/>
  <c r="E1384"/>
  <c r="C1384"/>
  <c r="B1384"/>
  <c r="A1384"/>
  <c r="E1383"/>
  <c r="C1383"/>
  <c r="B1383"/>
  <c r="A1383"/>
  <c r="E1382"/>
  <c r="C1382"/>
  <c r="B1382"/>
  <c r="A1382"/>
  <c r="E1381"/>
  <c r="C1381"/>
  <c r="B1381"/>
  <c r="A1381"/>
  <c r="E1380"/>
  <c r="C1380"/>
  <c r="B1380"/>
  <c r="A1380"/>
  <c r="E1379"/>
  <c r="C1379"/>
  <c r="B1379"/>
  <c r="A1379"/>
  <c r="E1378"/>
  <c r="C1378"/>
  <c r="B1378"/>
  <c r="A1378"/>
  <c r="E1377"/>
  <c r="C1377"/>
  <c r="B1377"/>
  <c r="A1377"/>
  <c r="E1376"/>
  <c r="C1376"/>
  <c r="B1376"/>
  <c r="A1376"/>
  <c r="E1375"/>
  <c r="C1375"/>
  <c r="B1375"/>
  <c r="A1375"/>
  <c r="E1374"/>
  <c r="C1374"/>
  <c r="B1374"/>
  <c r="A1374"/>
  <c r="E1373"/>
  <c r="C1373"/>
  <c r="B1373"/>
  <c r="A1373"/>
  <c r="E1372"/>
  <c r="C1372"/>
  <c r="B1372"/>
  <c r="A1372"/>
  <c r="E1371"/>
  <c r="C1371"/>
  <c r="B1371"/>
  <c r="A1371"/>
  <c r="E1370"/>
  <c r="C1370"/>
  <c r="B1370"/>
  <c r="A1370"/>
  <c r="E1369"/>
  <c r="C1369"/>
  <c r="B1369"/>
  <c r="A1369"/>
  <c r="E1368"/>
  <c r="C1368"/>
  <c r="B1368"/>
  <c r="A1368"/>
  <c r="E1367"/>
  <c r="C1367"/>
  <c r="B1367"/>
  <c r="A1367"/>
  <c r="E1366"/>
  <c r="C1366"/>
  <c r="B1366"/>
  <c r="A1366"/>
  <c r="E1365"/>
  <c r="C1365"/>
  <c r="B1365"/>
  <c r="A1365"/>
  <c r="E1364"/>
  <c r="C1364"/>
  <c r="B1364"/>
  <c r="A1364"/>
  <c r="E1363"/>
  <c r="C1363"/>
  <c r="B1363"/>
  <c r="A1363"/>
  <c r="E1362"/>
  <c r="C1362"/>
  <c r="B1362"/>
  <c r="A1362"/>
  <c r="E1361"/>
  <c r="C1361"/>
  <c r="B1361"/>
  <c r="A1361"/>
  <c r="E1360"/>
  <c r="C1360"/>
  <c r="B1360"/>
  <c r="A1360"/>
  <c r="E1359"/>
  <c r="C1359"/>
  <c r="B1359"/>
  <c r="A1359"/>
  <c r="E1358"/>
  <c r="C1358"/>
  <c r="B1358"/>
  <c r="A1358"/>
  <c r="E1357"/>
  <c r="C1357"/>
  <c r="B1357"/>
  <c r="A1357"/>
  <c r="E1356"/>
  <c r="C1356"/>
  <c r="B1356"/>
  <c r="A1356"/>
  <c r="E1355"/>
  <c r="C1355"/>
  <c r="B1355"/>
  <c r="A1355"/>
  <c r="E1354"/>
  <c r="C1354"/>
  <c r="B1354"/>
  <c r="A1354"/>
  <c r="E1353"/>
  <c r="C1353"/>
  <c r="B1353"/>
  <c r="A1353"/>
  <c r="E1352"/>
  <c r="C1352"/>
  <c r="B1352"/>
  <c r="A1352"/>
  <c r="E1351"/>
  <c r="C1351"/>
  <c r="B1351"/>
  <c r="A1351"/>
  <c r="E1350"/>
  <c r="C1350"/>
  <c r="B1350"/>
  <c r="A1350"/>
  <c r="E1349"/>
  <c r="C1349"/>
  <c r="B1349"/>
  <c r="A1349"/>
  <c r="E1348"/>
  <c r="C1348"/>
  <c r="B1348"/>
  <c r="A1348"/>
  <c r="E1347"/>
  <c r="C1347"/>
  <c r="B1347"/>
  <c r="A1347"/>
  <c r="E1346"/>
  <c r="C1346"/>
  <c r="B1346"/>
  <c r="A1346"/>
  <c r="E1345"/>
  <c r="C1345"/>
  <c r="B1345"/>
  <c r="A1345"/>
  <c r="E1344"/>
  <c r="C1344"/>
  <c r="B1344"/>
  <c r="A1344"/>
  <c r="E1343"/>
  <c r="C1343"/>
  <c r="B1343"/>
  <c r="A1343"/>
  <c r="E1342"/>
  <c r="C1342"/>
  <c r="B1342"/>
  <c r="A1342"/>
  <c r="E1341"/>
  <c r="C1341"/>
  <c r="B1341"/>
  <c r="A1341"/>
  <c r="E1340"/>
  <c r="C1340"/>
  <c r="B1340"/>
  <c r="A1340"/>
  <c r="E1339"/>
  <c r="C1339"/>
  <c r="B1339"/>
  <c r="A1339"/>
  <c r="E1338"/>
  <c r="C1338"/>
  <c r="B1338"/>
  <c r="A1338"/>
  <c r="E1337"/>
  <c r="C1337"/>
  <c r="B1337"/>
  <c r="A1337"/>
  <c r="E1336"/>
  <c r="C1336"/>
  <c r="B1336"/>
  <c r="A1336"/>
  <c r="E1335"/>
  <c r="C1335"/>
  <c r="B1335"/>
  <c r="A1335"/>
  <c r="E1334"/>
  <c r="C1334"/>
  <c r="B1334"/>
  <c r="A1334"/>
  <c r="E1333"/>
  <c r="C1333"/>
  <c r="B1333"/>
  <c r="A1333"/>
  <c r="E1332"/>
  <c r="C1332"/>
  <c r="B1332"/>
  <c r="A1332"/>
  <c r="E1331"/>
  <c r="C1331"/>
  <c r="B1331"/>
  <c r="A1331"/>
  <c r="E1330"/>
  <c r="C1330"/>
  <c r="B1330"/>
  <c r="A1330"/>
  <c r="E1329"/>
  <c r="C1329"/>
  <c r="B1329"/>
  <c r="A1329"/>
  <c r="E1328"/>
  <c r="C1328"/>
  <c r="B1328"/>
  <c r="A1328"/>
  <c r="E1327"/>
  <c r="C1327"/>
  <c r="B1327"/>
  <c r="A1327"/>
  <c r="E1326"/>
  <c r="C1326"/>
  <c r="B1326"/>
  <c r="A1326"/>
  <c r="E1325"/>
  <c r="C1325"/>
  <c r="B1325"/>
  <c r="A1325"/>
  <c r="E1324"/>
  <c r="C1324"/>
  <c r="B1324"/>
  <c r="A1324"/>
  <c r="E1323"/>
  <c r="C1323"/>
  <c r="B1323"/>
  <c r="A1323"/>
  <c r="E1322"/>
  <c r="C1322"/>
  <c r="B1322"/>
  <c r="A1322"/>
  <c r="E1321"/>
  <c r="C1321"/>
  <c r="B1321"/>
  <c r="A1321"/>
  <c r="E1320"/>
  <c r="C1320"/>
  <c r="B1320"/>
  <c r="A1320"/>
  <c r="E1319"/>
  <c r="C1319"/>
  <c r="B1319"/>
  <c r="A1319"/>
  <c r="E1318"/>
  <c r="C1318"/>
  <c r="B1318"/>
  <c r="A1318"/>
  <c r="E1317"/>
  <c r="C1317"/>
  <c r="B1317"/>
  <c r="A1317"/>
  <c r="E1316"/>
  <c r="C1316"/>
  <c r="B1316"/>
  <c r="A1316"/>
  <c r="E1315"/>
  <c r="C1315"/>
  <c r="B1315"/>
  <c r="A1315"/>
  <c r="E1314"/>
  <c r="C1314"/>
  <c r="B1314"/>
  <c r="A1314"/>
  <c r="E1313"/>
  <c r="C1313"/>
  <c r="B1313"/>
  <c r="A1313"/>
  <c r="E1312"/>
  <c r="C1312"/>
  <c r="B1312"/>
  <c r="A1312"/>
  <c r="E1311"/>
  <c r="C1311"/>
  <c r="B1311"/>
  <c r="A1311"/>
  <c r="E1310"/>
  <c r="C1310"/>
  <c r="B1310"/>
  <c r="A1310"/>
  <c r="E1309"/>
  <c r="C1309"/>
  <c r="B1309"/>
  <c r="A1309"/>
  <c r="E1308"/>
  <c r="C1308"/>
  <c r="B1308"/>
  <c r="A1308"/>
  <c r="E1307"/>
  <c r="C1307"/>
  <c r="B1307"/>
  <c r="A1307"/>
  <c r="E1306"/>
  <c r="C1306"/>
  <c r="B1306"/>
  <c r="A1306"/>
  <c r="E1305"/>
  <c r="C1305"/>
  <c r="B1305"/>
  <c r="A1305"/>
  <c r="E1304"/>
  <c r="C1304"/>
  <c r="B1304"/>
  <c r="A1304"/>
  <c r="E1303"/>
  <c r="C1303"/>
  <c r="B1303"/>
  <c r="A1303"/>
  <c r="E1302"/>
  <c r="C1302"/>
  <c r="B1302"/>
  <c r="A1302"/>
  <c r="E1301"/>
  <c r="C1301"/>
  <c r="B1301"/>
  <c r="A1301"/>
  <c r="E1300"/>
  <c r="C1300"/>
  <c r="B1300"/>
  <c r="A1300"/>
  <c r="E1299"/>
  <c r="C1299"/>
  <c r="B1299"/>
  <c r="A1299"/>
  <c r="E1298"/>
  <c r="C1298"/>
  <c r="B1298"/>
  <c r="A1298"/>
  <c r="E1297"/>
  <c r="C1297"/>
  <c r="B1297"/>
  <c r="A1297"/>
  <c r="E1296"/>
  <c r="C1296"/>
  <c r="B1296"/>
  <c r="A1296"/>
  <c r="E1295"/>
  <c r="C1295"/>
  <c r="B1295"/>
  <c r="A1295"/>
  <c r="E1294"/>
  <c r="C1294"/>
  <c r="B1294"/>
  <c r="A1294"/>
  <c r="E1293"/>
  <c r="C1293"/>
  <c r="B1293"/>
  <c r="A1293"/>
  <c r="E1292"/>
  <c r="C1292"/>
  <c r="B1292"/>
  <c r="A1292"/>
  <c r="E1291"/>
  <c r="C1291"/>
  <c r="B1291"/>
  <c r="A1291"/>
  <c r="E1290"/>
  <c r="C1290"/>
  <c r="B1290"/>
  <c r="A1290"/>
  <c r="E1289"/>
  <c r="C1289"/>
  <c r="B1289"/>
  <c r="A1289"/>
  <c r="E1288"/>
  <c r="C1288"/>
  <c r="B1288"/>
  <c r="A1288"/>
  <c r="E1287"/>
  <c r="C1287"/>
  <c r="B1287"/>
  <c r="A1287"/>
  <c r="E1286"/>
  <c r="C1286"/>
  <c r="B1286"/>
  <c r="A1286"/>
  <c r="E1285"/>
  <c r="C1285"/>
  <c r="B1285"/>
  <c r="A1285"/>
  <c r="E1284"/>
  <c r="C1284"/>
  <c r="B1284"/>
  <c r="A1284"/>
  <c r="E1283"/>
  <c r="C1283"/>
  <c r="B1283"/>
  <c r="A1283"/>
  <c r="E1282"/>
  <c r="C1282"/>
  <c r="B1282"/>
  <c r="A1282"/>
  <c r="E1281"/>
  <c r="C1281"/>
  <c r="B1281"/>
  <c r="A1281"/>
  <c r="E1280"/>
  <c r="C1280"/>
  <c r="B1280"/>
  <c r="A1280"/>
  <c r="E1279"/>
  <c r="C1279"/>
  <c r="B1279"/>
  <c r="A1279"/>
  <c r="E1278"/>
  <c r="C1278"/>
  <c r="B1278"/>
  <c r="A1278"/>
  <c r="E1277"/>
  <c r="C1277"/>
  <c r="B1277"/>
  <c r="A1277"/>
  <c r="E1276"/>
  <c r="C1276"/>
  <c r="B1276"/>
  <c r="A1276"/>
  <c r="E1275"/>
  <c r="C1275"/>
  <c r="B1275"/>
  <c r="A1275"/>
  <c r="E1274"/>
  <c r="C1274"/>
  <c r="B1274"/>
  <c r="A1274"/>
  <c r="E1273"/>
  <c r="C1273"/>
  <c r="B1273"/>
  <c r="A1273"/>
  <c r="E1272"/>
  <c r="C1272"/>
  <c r="B1272"/>
  <c r="A1272"/>
  <c r="E1271"/>
  <c r="C1271"/>
  <c r="B1271"/>
  <c r="A1271"/>
  <c r="E1270"/>
  <c r="C1270"/>
  <c r="B1270"/>
  <c r="A1270"/>
  <c r="E1269"/>
  <c r="C1269"/>
  <c r="B1269"/>
  <c r="A1269"/>
  <c r="E1268"/>
  <c r="C1268"/>
  <c r="B1268"/>
  <c r="A1268"/>
  <c r="E1267"/>
  <c r="C1267"/>
  <c r="B1267"/>
  <c r="A1267"/>
  <c r="E1266"/>
  <c r="C1266"/>
  <c r="B1266"/>
  <c r="A1266"/>
  <c r="E1265"/>
  <c r="C1265"/>
  <c r="B1265"/>
  <c r="A1265"/>
  <c r="E1264"/>
  <c r="C1264"/>
  <c r="B1264"/>
  <c r="A1264"/>
  <c r="E1263"/>
  <c r="C1263"/>
  <c r="B1263"/>
  <c r="A1263"/>
  <c r="E1262"/>
  <c r="C1262"/>
  <c r="B1262"/>
  <c r="A1262"/>
  <c r="E1261"/>
  <c r="C1261"/>
  <c r="B1261"/>
  <c r="A1261"/>
  <c r="E1260"/>
  <c r="C1260"/>
  <c r="B1260"/>
  <c r="A1260"/>
  <c r="E1259"/>
  <c r="C1259"/>
  <c r="B1259"/>
  <c r="A1259"/>
  <c r="E1258"/>
  <c r="C1258"/>
  <c r="B1258"/>
  <c r="A1258"/>
  <c r="E1257"/>
  <c r="C1257"/>
  <c r="B1257"/>
  <c r="A1257"/>
  <c r="E1256"/>
  <c r="C1256"/>
  <c r="B1256"/>
  <c r="A1256"/>
  <c r="E1255"/>
  <c r="C1255"/>
  <c r="B1255"/>
  <c r="A1255"/>
  <c r="E1254"/>
  <c r="C1254"/>
  <c r="B1254"/>
  <c r="A1254"/>
  <c r="E1253"/>
  <c r="C1253"/>
  <c r="B1253"/>
  <c r="A1253"/>
  <c r="E1252"/>
  <c r="C1252"/>
  <c r="B1252"/>
  <c r="A1252"/>
  <c r="E1251"/>
  <c r="C1251"/>
  <c r="B1251"/>
  <c r="A1251"/>
  <c r="E1250"/>
  <c r="C1250"/>
  <c r="B1250"/>
  <c r="A1250"/>
  <c r="E1249"/>
  <c r="C1249"/>
  <c r="B1249"/>
  <c r="A1249"/>
  <c r="E1248"/>
  <c r="C1248"/>
  <c r="B1248"/>
  <c r="A1248"/>
  <c r="E1247"/>
  <c r="C1247"/>
  <c r="B1247"/>
  <c r="A1247"/>
  <c r="E1246"/>
  <c r="C1246"/>
  <c r="B1246"/>
  <c r="A1246"/>
  <c r="E1245"/>
  <c r="C1245"/>
  <c r="B1245"/>
  <c r="A1245"/>
  <c r="E1244"/>
  <c r="C1244"/>
  <c r="B1244"/>
  <c r="A1244"/>
  <c r="E1243"/>
  <c r="C1243"/>
  <c r="B1243"/>
  <c r="A1243"/>
  <c r="E1242"/>
  <c r="C1242"/>
  <c r="B1242"/>
  <c r="A1242"/>
  <c r="E1241"/>
  <c r="C1241"/>
  <c r="B1241"/>
  <c r="A1241"/>
  <c r="E1240"/>
  <c r="C1240"/>
  <c r="B1240"/>
  <c r="A1240"/>
  <c r="E1239"/>
  <c r="C1239"/>
  <c r="B1239"/>
  <c r="A1239"/>
  <c r="E1238"/>
  <c r="C1238"/>
  <c r="B1238"/>
  <c r="A1238"/>
  <c r="E1237"/>
  <c r="C1237"/>
  <c r="B1237"/>
  <c r="A1237"/>
  <c r="E1236"/>
  <c r="C1236"/>
  <c r="B1236"/>
  <c r="A1236"/>
  <c r="E1235"/>
  <c r="C1235"/>
  <c r="B1235"/>
  <c r="A1235"/>
  <c r="E1234"/>
  <c r="C1234"/>
  <c r="B1234"/>
  <c r="A1234"/>
  <c r="E1233"/>
  <c r="C1233"/>
  <c r="B1233"/>
  <c r="A1233"/>
  <c r="E1232"/>
  <c r="C1232"/>
  <c r="B1232"/>
  <c r="A1232"/>
  <c r="E1231"/>
  <c r="C1231"/>
  <c r="B1231"/>
  <c r="A1231"/>
  <c r="E1230"/>
  <c r="C1230"/>
  <c r="B1230"/>
  <c r="A1230"/>
  <c r="E1229"/>
  <c r="C1229"/>
  <c r="B1229"/>
  <c r="A1229"/>
  <c r="E1228"/>
  <c r="C1228"/>
  <c r="B1228"/>
  <c r="A1228"/>
  <c r="E1227"/>
  <c r="C1227"/>
  <c r="B1227"/>
  <c r="A1227"/>
  <c r="E1226"/>
  <c r="C1226"/>
  <c r="B1226"/>
  <c r="A1226"/>
  <c r="E1225"/>
  <c r="C1225"/>
  <c r="B1225"/>
  <c r="A1225"/>
  <c r="E1224"/>
  <c r="C1224"/>
  <c r="B1224"/>
  <c r="A1224"/>
  <c r="E1223"/>
  <c r="C1223"/>
  <c r="B1223"/>
  <c r="A1223"/>
  <c r="E1222"/>
  <c r="C1222"/>
  <c r="B1222"/>
  <c r="A1222"/>
  <c r="E1221"/>
  <c r="C1221"/>
  <c r="B1221"/>
  <c r="A1221"/>
  <c r="E1220"/>
  <c r="C1220"/>
  <c r="B1220"/>
  <c r="A1220"/>
  <c r="E1219"/>
  <c r="C1219"/>
  <c r="B1219"/>
  <c r="A1219"/>
  <c r="E1218"/>
  <c r="C1218"/>
  <c r="B1218"/>
  <c r="A1218"/>
  <c r="E1217"/>
  <c r="C1217"/>
  <c r="B1217"/>
  <c r="A1217"/>
  <c r="E1216"/>
  <c r="C1216"/>
  <c r="B1216"/>
  <c r="A1216"/>
  <c r="E1215"/>
  <c r="C1215"/>
  <c r="B1215"/>
  <c r="A1215"/>
  <c r="E1214"/>
  <c r="C1214"/>
  <c r="B1214"/>
  <c r="A1214"/>
  <c r="E1213"/>
  <c r="C1213"/>
  <c r="B1213"/>
  <c r="A1213"/>
  <c r="E1212"/>
  <c r="C1212"/>
  <c r="B1212"/>
  <c r="A1212"/>
  <c r="E1211"/>
  <c r="C1211"/>
  <c r="B1211"/>
  <c r="A1211"/>
  <c r="E1210"/>
  <c r="C1210"/>
  <c r="B1210"/>
  <c r="A1210"/>
  <c r="E1209"/>
  <c r="C1209"/>
  <c r="B1209"/>
  <c r="A1209"/>
  <c r="E1208"/>
  <c r="C1208"/>
  <c r="B1208"/>
  <c r="A1208"/>
  <c r="E1207"/>
  <c r="C1207"/>
  <c r="B1207"/>
  <c r="A1207"/>
  <c r="E1206"/>
  <c r="C1206"/>
  <c r="B1206"/>
  <c r="A1206"/>
  <c r="E1205"/>
  <c r="C1205"/>
  <c r="B1205"/>
  <c r="A1205"/>
  <c r="E1204"/>
  <c r="C1204"/>
  <c r="B1204"/>
  <c r="A1204"/>
  <c r="E1203"/>
  <c r="C1203"/>
  <c r="B1203"/>
  <c r="A1203"/>
  <c r="E1202"/>
  <c r="C1202"/>
  <c r="B1202"/>
  <c r="A1202"/>
  <c r="E1201"/>
  <c r="C1201"/>
  <c r="B1201"/>
  <c r="A1201"/>
  <c r="E1200"/>
  <c r="C1200"/>
  <c r="B1200"/>
  <c r="A1200"/>
  <c r="E1199"/>
  <c r="C1199"/>
  <c r="B1199"/>
  <c r="A1199"/>
  <c r="E1198"/>
  <c r="C1198"/>
  <c r="B1198"/>
  <c r="A1198"/>
  <c r="E1197"/>
  <c r="C1197"/>
  <c r="B1197"/>
  <c r="A1197"/>
  <c r="E1196"/>
  <c r="C1196"/>
  <c r="B1196"/>
  <c r="A1196"/>
  <c r="E1195"/>
  <c r="C1195"/>
  <c r="B1195"/>
  <c r="A1195"/>
  <c r="E1194"/>
  <c r="C1194"/>
  <c r="B1194"/>
  <c r="A1194"/>
  <c r="E1193"/>
  <c r="C1193"/>
  <c r="B1193"/>
  <c r="A1193"/>
  <c r="E1192"/>
  <c r="C1192"/>
  <c r="B1192"/>
  <c r="A1192"/>
  <c r="E1191"/>
  <c r="C1191"/>
  <c r="B1191"/>
  <c r="A1191"/>
  <c r="E1190"/>
  <c r="C1190"/>
  <c r="B1190"/>
  <c r="A1190"/>
  <c r="E1189"/>
  <c r="C1189"/>
  <c r="B1189"/>
  <c r="A1189"/>
  <c r="E1188"/>
  <c r="C1188"/>
  <c r="B1188"/>
  <c r="A1188"/>
  <c r="E1187"/>
  <c r="C1187"/>
  <c r="B1187"/>
  <c r="A1187"/>
  <c r="E1186"/>
  <c r="C1186"/>
  <c r="B1186"/>
  <c r="A1186"/>
  <c r="E1185"/>
  <c r="C1185"/>
  <c r="B1185"/>
  <c r="A1185"/>
  <c r="E1184"/>
  <c r="C1184"/>
  <c r="B1184"/>
  <c r="A1184"/>
  <c r="E1183"/>
  <c r="C1183"/>
  <c r="B1183"/>
  <c r="A1183"/>
  <c r="E1182"/>
  <c r="C1182"/>
  <c r="B1182"/>
  <c r="A1182"/>
  <c r="E1181"/>
  <c r="C1181"/>
  <c r="B1181"/>
  <c r="A1181"/>
  <c r="E1180"/>
  <c r="C1180"/>
  <c r="B1180"/>
  <c r="A1180"/>
  <c r="E1179"/>
  <c r="C1179"/>
  <c r="B1179"/>
  <c r="A1179"/>
  <c r="E1178"/>
  <c r="C1178"/>
  <c r="B1178"/>
  <c r="A1178"/>
  <c r="E1177"/>
  <c r="C1177"/>
  <c r="B1177"/>
  <c r="A1177"/>
  <c r="E1176"/>
  <c r="C1176"/>
  <c r="B1176"/>
  <c r="A1176"/>
  <c r="E1175"/>
  <c r="C1175"/>
  <c r="B1175"/>
  <c r="A1175"/>
  <c r="E1174"/>
  <c r="C1174"/>
  <c r="B1174"/>
  <c r="A1174"/>
  <c r="E1173"/>
  <c r="C1173"/>
  <c r="B1173"/>
  <c r="A1173"/>
  <c r="E1172"/>
  <c r="C1172"/>
  <c r="B1172"/>
  <c r="A1172"/>
  <c r="E1171"/>
  <c r="C1171"/>
  <c r="B1171"/>
  <c r="A1171"/>
  <c r="E1170"/>
  <c r="C1170"/>
  <c r="B1170"/>
  <c r="A1170"/>
  <c r="E1169"/>
  <c r="C1169"/>
  <c r="B1169"/>
  <c r="A1169"/>
  <c r="E1168"/>
  <c r="C1168"/>
  <c r="B1168"/>
  <c r="A1168"/>
  <c r="E1167"/>
  <c r="C1167"/>
  <c r="B1167"/>
  <c r="A1167"/>
  <c r="E1166"/>
  <c r="C1166"/>
  <c r="B1166"/>
  <c r="A1166"/>
  <c r="E1165"/>
  <c r="C1165"/>
  <c r="B1165"/>
  <c r="A1165"/>
  <c r="E1164"/>
  <c r="C1164"/>
  <c r="B1164"/>
  <c r="A1164"/>
  <c r="E1163"/>
  <c r="C1163"/>
  <c r="B1163"/>
  <c r="A1163"/>
  <c r="E1162"/>
  <c r="C1162"/>
  <c r="B1162"/>
  <c r="A1162"/>
  <c r="E1161"/>
  <c r="C1161"/>
  <c r="B1161"/>
  <c r="A1161"/>
  <c r="E1160"/>
  <c r="C1160"/>
  <c r="B1160"/>
  <c r="A1160"/>
  <c r="E1159"/>
  <c r="C1159"/>
  <c r="B1159"/>
  <c r="A1159"/>
  <c r="E1158"/>
  <c r="C1158"/>
  <c r="B1158"/>
  <c r="A1158"/>
  <c r="E1157"/>
  <c r="C1157"/>
  <c r="B1157"/>
  <c r="A1157"/>
  <c r="E1156"/>
  <c r="C1156"/>
  <c r="B1156"/>
  <c r="A1156"/>
  <c r="E1155"/>
  <c r="C1155"/>
  <c r="B1155"/>
  <c r="A1155"/>
  <c r="E1154"/>
  <c r="C1154"/>
  <c r="B1154"/>
  <c r="A1154"/>
  <c r="E1153"/>
  <c r="C1153"/>
  <c r="B1153"/>
  <c r="A1153"/>
  <c r="E1152"/>
  <c r="C1152"/>
  <c r="B1152"/>
  <c r="A1152"/>
  <c r="E1151"/>
  <c r="C1151"/>
  <c r="B1151"/>
  <c r="A1151"/>
  <c r="E1150"/>
  <c r="C1150"/>
  <c r="B1150"/>
  <c r="A1150"/>
  <c r="E1149"/>
  <c r="C1149"/>
  <c r="B1149"/>
  <c r="A1149"/>
  <c r="E1148"/>
  <c r="C1148"/>
  <c r="B1148"/>
  <c r="A1148"/>
  <c r="E1147"/>
  <c r="C1147"/>
  <c r="B1147"/>
  <c r="A1147"/>
  <c r="E1146"/>
  <c r="C1146"/>
  <c r="B1146"/>
  <c r="A1146"/>
  <c r="E1145"/>
  <c r="C1145"/>
  <c r="B1145"/>
  <c r="A1145"/>
  <c r="E1144"/>
  <c r="C1144"/>
  <c r="B1144"/>
  <c r="A1144"/>
  <c r="E1143"/>
  <c r="C1143"/>
  <c r="B1143"/>
  <c r="A1143"/>
  <c r="E1142"/>
  <c r="C1142"/>
  <c r="B1142"/>
  <c r="A1142"/>
  <c r="E1141"/>
  <c r="C1141"/>
  <c r="B1141"/>
  <c r="A1141"/>
  <c r="E1140"/>
  <c r="C1140"/>
  <c r="B1140"/>
  <c r="A1140"/>
  <c r="E1139"/>
  <c r="C1139"/>
  <c r="B1139"/>
  <c r="A1139"/>
  <c r="E1138"/>
  <c r="C1138"/>
  <c r="B1138"/>
  <c r="A1138"/>
  <c r="E1137"/>
  <c r="C1137"/>
  <c r="B1137"/>
  <c r="A1137"/>
  <c r="E1136"/>
  <c r="C1136"/>
  <c r="B1136"/>
  <c r="A1136"/>
  <c r="E1135"/>
  <c r="C1135"/>
  <c r="B1135"/>
  <c r="A1135"/>
  <c r="E1134"/>
  <c r="C1134"/>
  <c r="B1134"/>
  <c r="A1134"/>
  <c r="E1133"/>
  <c r="C1133"/>
  <c r="B1133"/>
  <c r="A1133"/>
  <c r="E1132"/>
  <c r="C1132"/>
  <c r="B1132"/>
  <c r="A1132"/>
  <c r="E1131"/>
  <c r="C1131"/>
  <c r="B1131"/>
  <c r="A1131"/>
  <c r="E1130"/>
  <c r="C1130"/>
  <c r="B1130"/>
  <c r="A1130"/>
  <c r="E1129"/>
  <c r="C1129"/>
  <c r="B1129"/>
  <c r="A1129"/>
  <c r="E1128"/>
  <c r="C1128"/>
  <c r="B1128"/>
  <c r="A1128"/>
  <c r="E1127"/>
  <c r="C1127"/>
  <c r="B1127"/>
  <c r="A1127"/>
  <c r="E1126"/>
  <c r="C1126"/>
  <c r="B1126"/>
  <c r="A1126"/>
  <c r="E1125"/>
  <c r="C1125"/>
  <c r="B1125"/>
  <c r="A1125"/>
  <c r="E1124"/>
  <c r="C1124"/>
  <c r="B1124"/>
  <c r="A1124"/>
  <c r="E1123"/>
  <c r="C1123"/>
  <c r="B1123"/>
  <c r="A1123"/>
  <c r="E1122"/>
  <c r="C1122"/>
  <c r="B1122"/>
  <c r="A1122"/>
  <c r="E1121"/>
  <c r="C1121"/>
  <c r="B1121"/>
  <c r="A1121"/>
  <c r="E1120"/>
  <c r="C1120"/>
  <c r="B1120"/>
  <c r="A1120"/>
  <c r="E1119"/>
  <c r="C1119"/>
  <c r="B1119"/>
  <c r="A1119"/>
  <c r="E1118"/>
  <c r="C1118"/>
  <c r="B1118"/>
  <c r="A1118"/>
  <c r="E1117"/>
  <c r="C1117"/>
  <c r="B1117"/>
  <c r="A1117"/>
  <c r="E1116"/>
  <c r="C1116"/>
  <c r="B1116"/>
  <c r="A1116"/>
  <c r="E1115"/>
  <c r="C1115"/>
  <c r="B1115"/>
  <c r="A1115"/>
  <c r="E1114"/>
  <c r="C1114"/>
  <c r="B1114"/>
  <c r="A1114"/>
  <c r="E1113"/>
  <c r="C1113"/>
  <c r="B1113"/>
  <c r="A1113"/>
  <c r="E1112"/>
  <c r="C1112"/>
  <c r="B1112"/>
  <c r="A1112"/>
  <c r="E1111"/>
  <c r="C1111"/>
  <c r="B1111"/>
  <c r="A1111"/>
  <c r="E1110"/>
  <c r="C1110"/>
  <c r="B1110"/>
  <c r="A1110"/>
  <c r="E1109"/>
  <c r="C1109"/>
  <c r="B1109"/>
  <c r="A1109"/>
  <c r="E1108"/>
  <c r="C1108"/>
  <c r="B1108"/>
  <c r="A1108"/>
  <c r="E1107"/>
  <c r="C1107"/>
  <c r="B1107"/>
  <c r="A1107"/>
  <c r="E1106"/>
  <c r="C1106"/>
  <c r="B1106"/>
  <c r="A1106"/>
  <c r="E1105"/>
  <c r="C1105"/>
  <c r="B1105"/>
  <c r="A1105"/>
  <c r="E1104"/>
  <c r="C1104"/>
  <c r="B1104"/>
  <c r="A1104"/>
  <c r="E1103"/>
  <c r="C1103"/>
  <c r="B1103"/>
  <c r="A1103"/>
  <c r="E1102"/>
  <c r="C1102"/>
  <c r="B1102"/>
  <c r="A1102"/>
  <c r="E1101"/>
  <c r="C1101"/>
  <c r="B1101"/>
  <c r="A1101"/>
  <c r="E1100"/>
  <c r="C1100"/>
  <c r="B1100"/>
  <c r="A1100"/>
  <c r="E1099"/>
  <c r="C1099"/>
  <c r="B1099"/>
  <c r="A1099"/>
  <c r="E1098"/>
  <c r="C1098"/>
  <c r="B1098"/>
  <c r="A1098"/>
  <c r="E1097"/>
  <c r="C1097"/>
  <c r="B1097"/>
  <c r="A1097"/>
  <c r="E1096"/>
  <c r="C1096"/>
  <c r="B1096"/>
  <c r="A1096"/>
  <c r="E1095"/>
  <c r="C1095"/>
  <c r="B1095"/>
  <c r="A1095"/>
  <c r="E1094"/>
  <c r="C1094"/>
  <c r="B1094"/>
  <c r="A1094"/>
  <c r="E1093"/>
  <c r="C1093"/>
  <c r="B1093"/>
  <c r="A1093"/>
  <c r="E1092"/>
  <c r="C1092"/>
  <c r="B1092"/>
  <c r="A1092"/>
  <c r="E1091"/>
  <c r="C1091"/>
  <c r="B1091"/>
  <c r="A1091"/>
  <c r="E1090"/>
  <c r="C1090"/>
  <c r="B1090"/>
  <c r="A1090"/>
  <c r="E1089"/>
  <c r="C1089"/>
  <c r="B1089"/>
  <c r="A1089"/>
  <c r="E1088"/>
  <c r="C1088"/>
  <c r="B1088"/>
  <c r="A1088"/>
  <c r="E1087"/>
  <c r="C1087"/>
  <c r="B1087"/>
  <c r="A1087"/>
  <c r="E1086"/>
  <c r="C1086"/>
  <c r="B1086"/>
  <c r="A1086"/>
  <c r="E1085"/>
  <c r="C1085"/>
  <c r="B1085"/>
  <c r="A1085"/>
  <c r="E1084"/>
  <c r="C1084"/>
  <c r="B1084"/>
  <c r="A1084"/>
  <c r="E1083"/>
  <c r="C1083"/>
  <c r="B1083"/>
  <c r="A1083"/>
  <c r="E1082"/>
  <c r="C1082"/>
  <c r="B1082"/>
  <c r="A1082"/>
  <c r="E1081"/>
  <c r="C1081"/>
  <c r="B1081"/>
  <c r="A1081"/>
  <c r="E1080"/>
  <c r="C1080"/>
  <c r="B1080"/>
  <c r="A1080"/>
  <c r="E1079"/>
  <c r="C1079"/>
  <c r="B1079"/>
  <c r="A1079"/>
  <c r="E1078"/>
  <c r="C1078"/>
  <c r="B1078"/>
  <c r="A1078"/>
  <c r="E1077"/>
  <c r="C1077"/>
  <c r="B1077"/>
  <c r="A1077"/>
  <c r="E1076"/>
  <c r="C1076"/>
  <c r="B1076"/>
  <c r="A1076"/>
  <c r="E1075"/>
  <c r="C1075"/>
  <c r="B1075"/>
  <c r="A1075"/>
  <c r="E1074"/>
  <c r="C1074"/>
  <c r="B1074"/>
  <c r="A1074"/>
  <c r="E1073"/>
  <c r="C1073"/>
  <c r="B1073"/>
  <c r="A1073"/>
  <c r="E1072"/>
  <c r="C1072"/>
  <c r="B1072"/>
  <c r="A1072"/>
  <c r="E1071"/>
  <c r="C1071"/>
  <c r="B1071"/>
  <c r="A1071"/>
  <c r="E1070"/>
  <c r="C1070"/>
  <c r="B1070"/>
  <c r="A1070"/>
  <c r="E1069"/>
  <c r="C1069"/>
  <c r="B1069"/>
  <c r="A1069"/>
  <c r="E1068"/>
  <c r="C1068"/>
  <c r="B1068"/>
  <c r="A1068"/>
  <c r="E1067"/>
  <c r="C1067"/>
  <c r="B1067"/>
  <c r="A1067"/>
  <c r="E1066"/>
  <c r="C1066"/>
  <c r="B1066"/>
  <c r="A1066"/>
  <c r="E1065"/>
  <c r="C1065"/>
  <c r="B1065"/>
  <c r="A1065"/>
  <c r="E1064"/>
  <c r="C1064"/>
  <c r="B1064"/>
  <c r="A1064"/>
  <c r="E1063"/>
  <c r="C1063"/>
  <c r="B1063"/>
  <c r="A1063"/>
  <c r="E1062"/>
  <c r="C1062"/>
  <c r="B1062"/>
  <c r="A1062"/>
  <c r="E1061"/>
  <c r="C1061"/>
  <c r="B1061"/>
  <c r="A1061"/>
  <c r="E1060"/>
  <c r="C1060"/>
  <c r="B1060"/>
  <c r="A1060"/>
  <c r="E1059"/>
  <c r="C1059"/>
  <c r="B1059"/>
  <c r="A1059"/>
  <c r="E1058"/>
  <c r="C1058"/>
  <c r="B1058"/>
  <c r="A1058"/>
  <c r="E1057"/>
  <c r="C1057"/>
  <c r="B1057"/>
  <c r="A1057"/>
  <c r="E1056"/>
  <c r="C1056"/>
  <c r="B1056"/>
  <c r="A1056"/>
  <c r="E1055"/>
  <c r="C1055"/>
  <c r="B1055"/>
  <c r="A1055"/>
  <c r="E1054"/>
  <c r="C1054"/>
  <c r="B1054"/>
  <c r="A1054"/>
  <c r="E1053"/>
  <c r="C1053"/>
  <c r="B1053"/>
  <c r="A1053"/>
  <c r="E1052"/>
  <c r="C1052"/>
  <c r="B1052"/>
  <c r="A1052"/>
  <c r="E1051"/>
  <c r="C1051"/>
  <c r="B1051"/>
  <c r="A1051"/>
  <c r="E1050"/>
  <c r="C1050"/>
  <c r="B1050"/>
  <c r="A1050"/>
  <c r="E1049"/>
  <c r="C1049"/>
  <c r="B1049"/>
  <c r="A1049"/>
  <c r="E1048"/>
  <c r="C1048"/>
  <c r="B1048"/>
  <c r="A1048"/>
  <c r="E1047"/>
  <c r="C1047"/>
  <c r="B1047"/>
  <c r="A1047"/>
  <c r="E1046"/>
  <c r="C1046"/>
  <c r="B1046"/>
  <c r="A1046"/>
  <c r="E1045"/>
  <c r="C1045"/>
  <c r="B1045"/>
  <c r="A1045"/>
  <c r="E1044"/>
  <c r="C1044"/>
  <c r="B1044"/>
  <c r="A1044"/>
  <c r="E1043"/>
  <c r="C1043"/>
  <c r="B1043"/>
  <c r="A1043"/>
  <c r="E1042"/>
  <c r="C1042"/>
  <c r="B1042"/>
  <c r="A1042"/>
  <c r="E1041"/>
  <c r="C1041"/>
  <c r="B1041"/>
  <c r="A1041"/>
  <c r="E1040"/>
  <c r="C1040"/>
  <c r="B1040"/>
  <c r="A1040"/>
  <c r="E1039"/>
  <c r="C1039"/>
  <c r="B1039"/>
  <c r="A1039"/>
  <c r="E1038"/>
  <c r="C1038"/>
  <c r="B1038"/>
  <c r="A1038"/>
  <c r="E1037"/>
  <c r="C1037"/>
  <c r="B1037"/>
  <c r="A1037"/>
  <c r="E1036"/>
  <c r="C1036"/>
  <c r="B1036"/>
  <c r="A1036"/>
  <c r="E1035"/>
  <c r="C1035"/>
  <c r="B1035"/>
  <c r="A1035"/>
  <c r="E1034"/>
  <c r="C1034"/>
  <c r="B1034"/>
  <c r="A1034"/>
  <c r="E1033"/>
  <c r="C1033"/>
  <c r="B1033"/>
  <c r="A1033"/>
  <c r="E1032"/>
  <c r="C1032"/>
  <c r="B1032"/>
  <c r="A1032"/>
  <c r="E1031"/>
  <c r="C1031"/>
  <c r="B1031"/>
  <c r="A1031"/>
  <c r="E1030"/>
  <c r="C1030"/>
  <c r="B1030"/>
  <c r="A1030"/>
  <c r="E1029"/>
  <c r="C1029"/>
  <c r="B1029"/>
  <c r="A1029"/>
  <c r="E1028"/>
  <c r="C1028"/>
  <c r="B1028"/>
  <c r="A1028"/>
  <c r="E1027"/>
  <c r="C1027"/>
  <c r="B1027"/>
  <c r="A1027"/>
  <c r="E1026"/>
  <c r="C1026"/>
  <c r="B1026"/>
  <c r="A1026"/>
  <c r="E1025"/>
  <c r="C1025"/>
  <c r="B1025"/>
  <c r="A1025"/>
  <c r="E1024"/>
  <c r="C1024"/>
  <c r="B1024"/>
  <c r="A1024"/>
  <c r="E1023"/>
  <c r="C1023"/>
  <c r="B1023"/>
  <c r="A1023"/>
  <c r="E1022"/>
  <c r="C1022"/>
  <c r="B1022"/>
  <c r="A1022"/>
  <c r="E1021"/>
  <c r="C1021"/>
  <c r="B1021"/>
  <c r="A1021"/>
  <c r="E1020"/>
  <c r="C1020"/>
  <c r="B1020"/>
  <c r="A1020"/>
  <c r="E1019"/>
  <c r="C1019"/>
  <c r="B1019"/>
  <c r="A1019"/>
  <c r="E1018"/>
  <c r="C1018"/>
  <c r="B1018"/>
  <c r="A1018"/>
  <c r="E1017"/>
  <c r="C1017"/>
  <c r="B1017"/>
  <c r="A1017"/>
  <c r="E1016"/>
  <c r="C1016"/>
  <c r="B1016"/>
  <c r="A1016"/>
  <c r="E1015"/>
  <c r="C1015"/>
  <c r="B1015"/>
  <c r="A1015"/>
  <c r="E1014"/>
  <c r="C1014"/>
  <c r="B1014"/>
  <c r="A1014"/>
  <c r="E1013"/>
  <c r="C1013"/>
  <c r="B1013"/>
  <c r="A1013"/>
  <c r="E1012"/>
  <c r="C1012"/>
  <c r="B1012"/>
  <c r="A1012"/>
  <c r="E1011"/>
  <c r="C1011"/>
  <c r="B1011"/>
  <c r="A1011"/>
  <c r="E1010"/>
  <c r="C1010"/>
  <c r="B1010"/>
  <c r="A1010"/>
  <c r="E1009"/>
  <c r="C1009"/>
  <c r="B1009"/>
  <c r="A1009"/>
  <c r="E1008"/>
  <c r="C1008"/>
  <c r="B1008"/>
  <c r="A1008"/>
  <c r="E1007"/>
  <c r="C1007"/>
  <c r="B1007"/>
  <c r="A1007"/>
  <c r="E1006"/>
  <c r="C1006"/>
  <c r="B1006"/>
  <c r="A1006"/>
  <c r="E1005"/>
  <c r="C1005"/>
  <c r="B1005"/>
  <c r="A1005"/>
  <c r="E1004"/>
  <c r="C1004"/>
  <c r="B1004"/>
  <c r="A1004"/>
  <c r="E1003"/>
  <c r="C1003"/>
  <c r="B1003"/>
  <c r="A1003"/>
  <c r="E1002"/>
  <c r="C1002"/>
  <c r="B1002"/>
  <c r="A1002"/>
  <c r="E1001"/>
  <c r="C1001"/>
  <c r="B1001"/>
  <c r="A1001"/>
  <c r="E1000"/>
  <c r="C1000"/>
  <c r="B1000"/>
  <c r="A1000"/>
  <c r="E999"/>
  <c r="C999"/>
  <c r="B999"/>
  <c r="A999"/>
  <c r="E998"/>
  <c r="C998"/>
  <c r="B998"/>
  <c r="A998"/>
  <c r="E997"/>
  <c r="C997"/>
  <c r="B997"/>
  <c r="A997"/>
  <c r="E996"/>
  <c r="C996"/>
  <c r="B996"/>
  <c r="A996"/>
  <c r="E995"/>
  <c r="C995"/>
  <c r="B995"/>
  <c r="A995"/>
  <c r="E994"/>
  <c r="C994"/>
  <c r="B994"/>
  <c r="A994"/>
  <c r="E993"/>
  <c r="C993"/>
  <c r="B993"/>
  <c r="A993"/>
  <c r="E992"/>
  <c r="C992"/>
  <c r="B992"/>
  <c r="A992"/>
  <c r="E991"/>
  <c r="C991"/>
  <c r="B991"/>
  <c r="A991"/>
  <c r="E990"/>
  <c r="C990"/>
  <c r="B990"/>
  <c r="A990"/>
  <c r="E989"/>
  <c r="C989"/>
  <c r="B989"/>
  <c r="A989"/>
  <c r="E988"/>
  <c r="C988"/>
  <c r="B988"/>
  <c r="A988"/>
  <c r="E987"/>
  <c r="C987"/>
  <c r="B987"/>
  <c r="A987"/>
  <c r="E986"/>
  <c r="C986"/>
  <c r="B986"/>
  <c r="A986"/>
  <c r="E985"/>
  <c r="C985"/>
  <c r="B985"/>
  <c r="A985"/>
  <c r="E984"/>
  <c r="C984"/>
  <c r="B984"/>
  <c r="A984"/>
  <c r="E983"/>
  <c r="C983"/>
  <c r="B983"/>
  <c r="A983"/>
  <c r="E982"/>
  <c r="C982"/>
  <c r="B982"/>
  <c r="A982"/>
  <c r="E981"/>
  <c r="C981"/>
  <c r="B981"/>
  <c r="A981"/>
  <c r="E980"/>
  <c r="C980"/>
  <c r="B980"/>
  <c r="A980"/>
  <c r="E979"/>
  <c r="C979"/>
  <c r="B979"/>
  <c r="A979"/>
  <c r="E978"/>
  <c r="C978"/>
  <c r="B978"/>
  <c r="A978"/>
  <c r="E977"/>
  <c r="C977"/>
  <c r="B977"/>
  <c r="A977"/>
  <c r="E976"/>
  <c r="C976"/>
  <c r="B976"/>
  <c r="A976"/>
  <c r="E975"/>
  <c r="C975"/>
  <c r="B975"/>
  <c r="A975"/>
  <c r="E974"/>
  <c r="C974"/>
  <c r="B974"/>
  <c r="A974"/>
  <c r="E973"/>
  <c r="C973"/>
  <c r="B973"/>
  <c r="A973"/>
  <c r="E972"/>
  <c r="C972"/>
  <c r="B972"/>
  <c r="A972"/>
  <c r="E971"/>
  <c r="C971"/>
  <c r="B971"/>
  <c r="A971"/>
  <c r="E970"/>
  <c r="C970"/>
  <c r="B970"/>
  <c r="A970"/>
  <c r="E969"/>
  <c r="C969"/>
  <c r="B969"/>
  <c r="A969"/>
  <c r="E968"/>
  <c r="C968"/>
  <c r="B968"/>
  <c r="A968"/>
  <c r="E967"/>
  <c r="C967"/>
  <c r="B967"/>
  <c r="A967"/>
  <c r="E966"/>
  <c r="C966"/>
  <c r="B966"/>
  <c r="A966"/>
  <c r="E965"/>
  <c r="C965"/>
  <c r="B965"/>
  <c r="A965"/>
  <c r="E964"/>
  <c r="C964"/>
  <c r="B964"/>
  <c r="A964"/>
  <c r="E963"/>
  <c r="C963"/>
  <c r="B963"/>
  <c r="A963"/>
  <c r="E962"/>
  <c r="C962"/>
  <c r="B962"/>
  <c r="A962"/>
  <c r="E961"/>
  <c r="C961"/>
  <c r="B961"/>
  <c r="A961"/>
  <c r="E960"/>
  <c r="C960"/>
  <c r="B960"/>
  <c r="A960"/>
  <c r="E959"/>
  <c r="C959"/>
  <c r="B959"/>
  <c r="A959"/>
  <c r="E958"/>
  <c r="C958"/>
  <c r="B958"/>
  <c r="A958"/>
  <c r="E957"/>
  <c r="C957"/>
  <c r="B957"/>
  <c r="A957"/>
  <c r="E956"/>
  <c r="C956"/>
  <c r="B956"/>
  <c r="A956"/>
  <c r="E955"/>
  <c r="C955"/>
  <c r="B955"/>
  <c r="A955"/>
  <c r="E954"/>
  <c r="C954"/>
  <c r="B954"/>
  <c r="A954"/>
  <c r="E953"/>
  <c r="C953"/>
  <c r="B953"/>
  <c r="A953"/>
  <c r="E952"/>
  <c r="C952"/>
  <c r="B952"/>
  <c r="A952"/>
  <c r="E951"/>
  <c r="C951"/>
  <c r="B951"/>
  <c r="A951"/>
  <c r="E950"/>
  <c r="C950"/>
  <c r="B950"/>
  <c r="A950"/>
  <c r="E949"/>
  <c r="C949"/>
  <c r="B949"/>
  <c r="A949"/>
  <c r="E948"/>
  <c r="C948"/>
  <c r="B948"/>
  <c r="A948"/>
  <c r="E947"/>
  <c r="C947"/>
  <c r="B947"/>
  <c r="A947"/>
  <c r="E946"/>
  <c r="C946"/>
  <c r="B946"/>
  <c r="A946"/>
  <c r="E945"/>
  <c r="C945"/>
  <c r="B945"/>
  <c r="A945"/>
  <c r="E944"/>
  <c r="C944"/>
  <c r="B944"/>
  <c r="A944"/>
  <c r="E943"/>
  <c r="C943"/>
  <c r="B943"/>
  <c r="A943"/>
  <c r="E942"/>
  <c r="C942"/>
  <c r="B942"/>
  <c r="A942"/>
  <c r="E941"/>
  <c r="C941"/>
  <c r="B941"/>
  <c r="A941"/>
  <c r="E940"/>
  <c r="C940"/>
  <c r="B940"/>
  <c r="A940"/>
  <c r="E939"/>
  <c r="C939"/>
  <c r="B939"/>
  <c r="A939"/>
  <c r="E938"/>
  <c r="C938"/>
  <c r="B938"/>
  <c r="A938"/>
  <c r="E937"/>
  <c r="C937"/>
  <c r="B937"/>
  <c r="A937"/>
  <c r="E936"/>
  <c r="C936"/>
  <c r="B936"/>
  <c r="A936"/>
  <c r="E935"/>
  <c r="C935"/>
  <c r="B935"/>
  <c r="A935"/>
  <c r="E934"/>
  <c r="C934"/>
  <c r="B934"/>
  <c r="A934"/>
  <c r="E933"/>
  <c r="C933"/>
  <c r="B933"/>
  <c r="A933"/>
  <c r="E932"/>
  <c r="C932"/>
  <c r="B932"/>
  <c r="A932"/>
  <c r="E931"/>
  <c r="C931"/>
  <c r="B931"/>
  <c r="A931"/>
  <c r="E930"/>
  <c r="C930"/>
  <c r="B930"/>
  <c r="A930"/>
  <c r="E929"/>
  <c r="C929"/>
  <c r="B929"/>
  <c r="A929"/>
  <c r="E928"/>
  <c r="C928"/>
  <c r="B928"/>
  <c r="A928"/>
  <c r="E927"/>
  <c r="C927"/>
  <c r="B927"/>
  <c r="A927"/>
  <c r="E926"/>
  <c r="C926"/>
  <c r="B926"/>
  <c r="A926"/>
  <c r="E925"/>
  <c r="C925"/>
  <c r="B925"/>
  <c r="A925"/>
  <c r="E924"/>
  <c r="C924"/>
  <c r="B924"/>
  <c r="A924"/>
  <c r="E923"/>
  <c r="C923"/>
  <c r="B923"/>
  <c r="A923"/>
  <c r="E922"/>
  <c r="C922"/>
  <c r="B922"/>
  <c r="A922"/>
  <c r="E921"/>
  <c r="C921"/>
  <c r="B921"/>
  <c r="A921"/>
  <c r="E920"/>
  <c r="C920"/>
  <c r="B920"/>
  <c r="A920"/>
  <c r="E919"/>
  <c r="C919"/>
  <c r="B919"/>
  <c r="A919"/>
  <c r="E918"/>
  <c r="C918"/>
  <c r="B918"/>
  <c r="A918"/>
  <c r="E917"/>
  <c r="C917"/>
  <c r="B917"/>
  <c r="A917"/>
  <c r="E916"/>
  <c r="C916"/>
  <c r="B916"/>
  <c r="A916"/>
  <c r="E915"/>
  <c r="C915"/>
  <c r="B915"/>
  <c r="A915"/>
  <c r="E914"/>
  <c r="C914"/>
  <c r="B914"/>
  <c r="A914"/>
  <c r="E913"/>
  <c r="C913"/>
  <c r="B913"/>
  <c r="A913"/>
  <c r="E912"/>
  <c r="C912"/>
  <c r="B912"/>
  <c r="A912"/>
  <c r="E911"/>
  <c r="C911"/>
  <c r="B911"/>
  <c r="A911"/>
  <c r="E910"/>
  <c r="C910"/>
  <c r="B910"/>
  <c r="A910"/>
  <c r="E909"/>
  <c r="C909"/>
  <c r="B909"/>
  <c r="A909"/>
  <c r="E908"/>
  <c r="C908"/>
  <c r="B908"/>
  <c r="A908"/>
  <c r="E907"/>
  <c r="C907"/>
  <c r="B907"/>
  <c r="A907"/>
  <c r="E906"/>
  <c r="C906"/>
  <c r="B906"/>
  <c r="A906"/>
  <c r="E905"/>
  <c r="C905"/>
  <c r="B905"/>
  <c r="A905"/>
  <c r="E904"/>
  <c r="C904"/>
  <c r="B904"/>
  <c r="A904"/>
  <c r="E903"/>
  <c r="C903"/>
  <c r="B903"/>
  <c r="A903"/>
  <c r="E902"/>
  <c r="C902"/>
  <c r="B902"/>
  <c r="A902"/>
  <c r="E901"/>
  <c r="C901"/>
  <c r="B901"/>
  <c r="A901"/>
  <c r="E900"/>
  <c r="C900"/>
  <c r="B900"/>
  <c r="A900"/>
  <c r="E899"/>
  <c r="C899"/>
  <c r="B899"/>
  <c r="A899"/>
  <c r="E898"/>
  <c r="C898"/>
  <c r="B898"/>
  <c r="A898"/>
  <c r="E897"/>
  <c r="C897"/>
  <c r="B897"/>
  <c r="A897"/>
  <c r="E896"/>
  <c r="C896"/>
  <c r="B896"/>
  <c r="A896"/>
  <c r="E895"/>
  <c r="C895"/>
  <c r="B895"/>
  <c r="A895"/>
  <c r="E894"/>
  <c r="C894"/>
  <c r="B894"/>
  <c r="A894"/>
  <c r="E893"/>
  <c r="C893"/>
  <c r="B893"/>
  <c r="A893"/>
  <c r="E892"/>
  <c r="C892"/>
  <c r="B892"/>
  <c r="A892"/>
  <c r="E891"/>
  <c r="C891"/>
  <c r="B891"/>
  <c r="A891"/>
  <c r="E890"/>
  <c r="C890"/>
  <c r="B890"/>
  <c r="A890"/>
  <c r="E889"/>
  <c r="C889"/>
  <c r="B889"/>
  <c r="A889"/>
  <c r="E888"/>
  <c r="C888"/>
  <c r="B888"/>
  <c r="A888"/>
  <c r="E887"/>
  <c r="C887"/>
  <c r="B887"/>
  <c r="A887"/>
  <c r="E886"/>
  <c r="C886"/>
  <c r="B886"/>
  <c r="A886"/>
  <c r="E885"/>
  <c r="C885"/>
  <c r="B885"/>
  <c r="A885"/>
  <c r="E884"/>
  <c r="C884"/>
  <c r="B884"/>
  <c r="A884"/>
  <c r="E883"/>
  <c r="C883"/>
  <c r="B883"/>
  <c r="A883"/>
  <c r="E882"/>
  <c r="C882"/>
  <c r="B882"/>
  <c r="A882"/>
  <c r="E881"/>
  <c r="C881"/>
  <c r="B881"/>
  <c r="A881"/>
  <c r="E880"/>
  <c r="C880"/>
  <c r="B880"/>
  <c r="A880"/>
  <c r="E879"/>
  <c r="C879"/>
  <c r="B879"/>
  <c r="A879"/>
  <c r="E878"/>
  <c r="C878"/>
  <c r="B878"/>
  <c r="A878"/>
  <c r="E877"/>
  <c r="C877"/>
  <c r="B877"/>
  <c r="A877"/>
  <c r="E876"/>
  <c r="C876"/>
  <c r="B876"/>
  <c r="A876"/>
  <c r="E875"/>
  <c r="C875"/>
  <c r="B875"/>
  <c r="A875"/>
  <c r="E874"/>
  <c r="C874"/>
  <c r="B874"/>
  <c r="A874"/>
  <c r="E873"/>
  <c r="C873"/>
  <c r="B873"/>
  <c r="A873"/>
  <c r="E872"/>
  <c r="C872"/>
  <c r="B872"/>
  <c r="A872"/>
  <c r="E871"/>
  <c r="C871"/>
  <c r="B871"/>
  <c r="A871"/>
  <c r="E870"/>
  <c r="C870"/>
  <c r="B870"/>
  <c r="A870"/>
  <c r="E869"/>
  <c r="C869"/>
  <c r="B869"/>
  <c r="A869"/>
  <c r="E868"/>
  <c r="C868"/>
  <c r="B868"/>
  <c r="A868"/>
  <c r="E867"/>
  <c r="C867"/>
  <c r="B867"/>
  <c r="A867"/>
  <c r="E866"/>
  <c r="C866"/>
  <c r="B866"/>
  <c r="A866"/>
  <c r="E865"/>
  <c r="C865"/>
  <c r="B865"/>
  <c r="A865"/>
  <c r="E864"/>
  <c r="C864"/>
  <c r="B864"/>
  <c r="A864"/>
  <c r="E863"/>
  <c r="C863"/>
  <c r="B863"/>
  <c r="A863"/>
  <c r="E862"/>
  <c r="C862"/>
  <c r="B862"/>
  <c r="A862"/>
  <c r="E861"/>
  <c r="C861"/>
  <c r="B861"/>
  <c r="A861"/>
  <c r="E860"/>
  <c r="C860"/>
  <c r="B860"/>
  <c r="A860"/>
  <c r="E859"/>
  <c r="C859"/>
  <c r="B859"/>
  <c r="A859"/>
  <c r="E858"/>
  <c r="C858"/>
  <c r="B858"/>
  <c r="A858"/>
  <c r="E857"/>
  <c r="C857"/>
  <c r="B857"/>
  <c r="A857"/>
  <c r="E856"/>
  <c r="C856"/>
  <c r="B856"/>
  <c r="A856"/>
  <c r="E855"/>
  <c r="C855"/>
  <c r="B855"/>
  <c r="A855"/>
  <c r="E854"/>
  <c r="C854"/>
  <c r="B854"/>
  <c r="A854"/>
  <c r="E853"/>
  <c r="C853"/>
  <c r="B853"/>
  <c r="A853"/>
  <c r="E852"/>
  <c r="C852"/>
  <c r="B852"/>
  <c r="A852"/>
  <c r="E851"/>
  <c r="C851"/>
  <c r="B851"/>
  <c r="A851"/>
  <c r="E850"/>
  <c r="C850"/>
  <c r="B850"/>
  <c r="A850"/>
  <c r="E849"/>
  <c r="C849"/>
  <c r="B849"/>
  <c r="A849"/>
  <c r="E848"/>
  <c r="C848"/>
  <c r="B848"/>
  <c r="A848"/>
  <c r="E847"/>
  <c r="C847"/>
  <c r="B847"/>
  <c r="A847"/>
  <c r="E846"/>
  <c r="C846"/>
  <c r="B846"/>
  <c r="A846"/>
  <c r="E845"/>
  <c r="C845"/>
  <c r="B845"/>
  <c r="A845"/>
  <c r="E844"/>
  <c r="C844"/>
  <c r="B844"/>
  <c r="A844"/>
  <c r="E843"/>
  <c r="C843"/>
  <c r="B843"/>
  <c r="A843"/>
  <c r="E842"/>
  <c r="C842"/>
  <c r="B842"/>
  <c r="A842"/>
  <c r="E841"/>
  <c r="C841"/>
  <c r="B841"/>
  <c r="A841"/>
  <c r="E840"/>
  <c r="C840"/>
  <c r="B840"/>
  <c r="A840"/>
  <c r="E839"/>
  <c r="C839"/>
  <c r="B839"/>
  <c r="A839"/>
  <c r="E838"/>
  <c r="C838"/>
  <c r="B838"/>
  <c r="A838"/>
  <c r="E837"/>
  <c r="C837"/>
  <c r="B837"/>
  <c r="A837"/>
  <c r="E836"/>
  <c r="C836"/>
  <c r="B836"/>
  <c r="A836"/>
  <c r="E835"/>
  <c r="C835"/>
  <c r="B835"/>
  <c r="A835"/>
  <c r="E834"/>
  <c r="C834"/>
  <c r="B834"/>
  <c r="A834"/>
  <c r="E833"/>
  <c r="C833"/>
  <c r="B833"/>
  <c r="A833"/>
  <c r="E832"/>
  <c r="C832"/>
  <c r="B832"/>
  <c r="A832"/>
  <c r="E831"/>
  <c r="C831"/>
  <c r="B831"/>
  <c r="A831"/>
  <c r="E830"/>
  <c r="C830"/>
  <c r="B830"/>
  <c r="A830"/>
  <c r="E829"/>
  <c r="C829"/>
  <c r="B829"/>
  <c r="A829"/>
  <c r="E828"/>
  <c r="C828"/>
  <c r="B828"/>
  <c r="A828"/>
  <c r="E827"/>
  <c r="C827"/>
  <c r="B827"/>
  <c r="A827"/>
  <c r="E826"/>
  <c r="C826"/>
  <c r="B826"/>
  <c r="A826"/>
  <c r="E825"/>
  <c r="C825"/>
  <c r="B825"/>
  <c r="A825"/>
  <c r="E824"/>
  <c r="C824"/>
  <c r="B824"/>
  <c r="A824"/>
  <c r="E823"/>
  <c r="C823"/>
  <c r="B823"/>
  <c r="A823"/>
  <c r="E822"/>
  <c r="C822"/>
  <c r="B822"/>
  <c r="A822"/>
  <c r="E821"/>
  <c r="C821"/>
  <c r="B821"/>
  <c r="A821"/>
  <c r="E820"/>
  <c r="C820"/>
  <c r="B820"/>
  <c r="A820"/>
  <c r="E819"/>
  <c r="C819"/>
  <c r="B819"/>
  <c r="A819"/>
  <c r="E818"/>
  <c r="C818"/>
  <c r="B818"/>
  <c r="A818"/>
  <c r="E817"/>
  <c r="C817"/>
  <c r="B817"/>
  <c r="A817"/>
  <c r="E816"/>
  <c r="C816"/>
  <c r="B816"/>
  <c r="A816"/>
  <c r="E815"/>
  <c r="C815"/>
  <c r="B815"/>
  <c r="A815"/>
  <c r="E814"/>
  <c r="C814"/>
  <c r="B814"/>
  <c r="A814"/>
  <c r="E813"/>
  <c r="C813"/>
  <c r="B813"/>
  <c r="A813"/>
  <c r="E812"/>
  <c r="C812"/>
  <c r="B812"/>
  <c r="A812"/>
  <c r="E811"/>
  <c r="C811"/>
  <c r="B811"/>
  <c r="A811"/>
  <c r="E810"/>
  <c r="C810"/>
  <c r="B810"/>
  <c r="A810"/>
  <c r="E809"/>
  <c r="C809"/>
  <c r="B809"/>
  <c r="A809"/>
  <c r="E808"/>
  <c r="C808"/>
  <c r="B808"/>
  <c r="A808"/>
  <c r="E807"/>
  <c r="C807"/>
  <c r="B807"/>
  <c r="A807"/>
  <c r="E806"/>
  <c r="C806"/>
  <c r="B806"/>
  <c r="A806"/>
  <c r="E805"/>
  <c r="C805"/>
  <c r="B805"/>
  <c r="A805"/>
  <c r="E804"/>
  <c r="C804"/>
  <c r="B804"/>
  <c r="A804"/>
  <c r="E803"/>
  <c r="C803"/>
  <c r="B803"/>
  <c r="A803"/>
  <c r="E802"/>
  <c r="C802"/>
  <c r="B802"/>
  <c r="A802"/>
  <c r="E801"/>
  <c r="C801"/>
  <c r="B801"/>
  <c r="A801"/>
  <c r="E800"/>
  <c r="C800"/>
  <c r="B800"/>
  <c r="A800"/>
  <c r="E799"/>
  <c r="C799"/>
  <c r="B799"/>
  <c r="A799"/>
  <c r="E798"/>
  <c r="C798"/>
  <c r="B798"/>
  <c r="A798"/>
  <c r="E797"/>
  <c r="C797"/>
  <c r="B797"/>
  <c r="A797"/>
  <c r="E796"/>
  <c r="C796"/>
  <c r="B796"/>
  <c r="A796"/>
  <c r="E795"/>
  <c r="C795"/>
  <c r="B795"/>
  <c r="A795"/>
  <c r="E794"/>
  <c r="C794"/>
  <c r="B794"/>
  <c r="A794"/>
  <c r="E793"/>
  <c r="C793"/>
  <c r="B793"/>
  <c r="A793"/>
  <c r="E792"/>
  <c r="C792"/>
  <c r="B792"/>
  <c r="A792"/>
  <c r="E791"/>
  <c r="C791"/>
  <c r="B791"/>
  <c r="A791"/>
  <c r="E790"/>
  <c r="C790"/>
  <c r="B790"/>
  <c r="A790"/>
  <c r="E789"/>
  <c r="C789"/>
  <c r="B789"/>
  <c r="A789"/>
  <c r="E788"/>
  <c r="C788"/>
  <c r="B788"/>
  <c r="A788"/>
  <c r="E787"/>
  <c r="C787"/>
  <c r="B787"/>
  <c r="A787"/>
  <c r="E786"/>
  <c r="C786"/>
  <c r="B786"/>
  <c r="A786"/>
  <c r="E785"/>
  <c r="C785"/>
  <c r="B785"/>
  <c r="A785"/>
  <c r="E784"/>
  <c r="C784"/>
  <c r="B784"/>
  <c r="A784"/>
  <c r="E783"/>
  <c r="C783"/>
  <c r="B783"/>
  <c r="A783"/>
  <c r="E782"/>
  <c r="C782"/>
  <c r="B782"/>
  <c r="A782"/>
  <c r="E781"/>
  <c r="C781"/>
  <c r="B781"/>
  <c r="A781"/>
  <c r="E780"/>
  <c r="C780"/>
  <c r="B780"/>
  <c r="A780"/>
  <c r="E779"/>
  <c r="C779"/>
  <c r="B779"/>
  <c r="A779"/>
  <c r="E778"/>
  <c r="C778"/>
  <c r="B778"/>
  <c r="A778"/>
  <c r="E777"/>
  <c r="C777"/>
  <c r="B777"/>
  <c r="A777"/>
  <c r="E776"/>
  <c r="C776"/>
  <c r="B776"/>
  <c r="A776"/>
  <c r="E775"/>
  <c r="C775"/>
  <c r="B775"/>
  <c r="A775"/>
  <c r="E774"/>
  <c r="C774"/>
  <c r="B774"/>
  <c r="A774"/>
  <c r="E773"/>
  <c r="C773"/>
  <c r="B773"/>
  <c r="A773"/>
  <c r="E772"/>
  <c r="C772"/>
  <c r="B772"/>
  <c r="A772"/>
  <c r="E771"/>
  <c r="C771"/>
  <c r="B771"/>
  <c r="A771"/>
  <c r="E770"/>
  <c r="C770"/>
  <c r="B770"/>
  <c r="A770"/>
  <c r="E769"/>
  <c r="C769"/>
  <c r="B769"/>
  <c r="A769"/>
  <c r="E768"/>
  <c r="C768"/>
  <c r="B768"/>
  <c r="A768"/>
  <c r="E767"/>
  <c r="C767"/>
  <c r="B767"/>
  <c r="A767"/>
  <c r="E766"/>
  <c r="C766"/>
  <c r="B766"/>
  <c r="A766"/>
  <c r="E765"/>
  <c r="C765"/>
  <c r="B765"/>
  <c r="A765"/>
  <c r="E764"/>
  <c r="C764"/>
  <c r="B764"/>
  <c r="A764"/>
  <c r="E763"/>
  <c r="C763"/>
  <c r="B763"/>
  <c r="A763"/>
  <c r="E762"/>
  <c r="C762"/>
  <c r="B762"/>
  <c r="A762"/>
  <c r="E761"/>
  <c r="C761"/>
  <c r="B761"/>
  <c r="A761"/>
  <c r="E760"/>
  <c r="C760"/>
  <c r="B760"/>
  <c r="A760"/>
  <c r="E759"/>
  <c r="C759"/>
  <c r="B759"/>
  <c r="A759"/>
  <c r="E758"/>
  <c r="C758"/>
  <c r="B758"/>
  <c r="A758"/>
  <c r="E757"/>
  <c r="C757"/>
  <c r="B757"/>
  <c r="A757"/>
  <c r="E756"/>
  <c r="C756"/>
  <c r="B756"/>
  <c r="A756"/>
  <c r="E755"/>
  <c r="C755"/>
  <c r="B755"/>
  <c r="A755"/>
  <c r="E754"/>
  <c r="C754"/>
  <c r="B754"/>
  <c r="A754"/>
  <c r="E753"/>
  <c r="C753"/>
  <c r="B753"/>
  <c r="A753"/>
  <c r="E752"/>
  <c r="C752"/>
  <c r="B752"/>
  <c r="A752"/>
  <c r="E751"/>
  <c r="C751"/>
  <c r="B751"/>
  <c r="A751"/>
  <c r="E750"/>
  <c r="C750"/>
  <c r="B750"/>
  <c r="A750"/>
  <c r="E749"/>
  <c r="C749"/>
  <c r="B749"/>
  <c r="A749"/>
  <c r="E748"/>
  <c r="C748"/>
  <c r="B748"/>
  <c r="A748"/>
  <c r="E747"/>
  <c r="C747"/>
  <c r="B747"/>
  <c r="A747"/>
  <c r="E746"/>
  <c r="C746"/>
  <c r="B746"/>
  <c r="A746"/>
  <c r="E745"/>
  <c r="C745"/>
  <c r="B745"/>
  <c r="A745"/>
  <c r="E744"/>
  <c r="C744"/>
  <c r="B744"/>
  <c r="A744"/>
  <c r="E743"/>
  <c r="C743"/>
  <c r="B743"/>
  <c r="A743"/>
  <c r="E742"/>
  <c r="C742"/>
  <c r="B742"/>
  <c r="A742"/>
  <c r="E741"/>
  <c r="C741"/>
  <c r="B741"/>
  <c r="A741"/>
  <c r="E740"/>
  <c r="C740"/>
  <c r="B740"/>
  <c r="A740"/>
  <c r="E739"/>
  <c r="C739"/>
  <c r="B739"/>
  <c r="A739"/>
  <c r="E738"/>
  <c r="C738"/>
  <c r="B738"/>
  <c r="A738"/>
  <c r="E737"/>
  <c r="C737"/>
  <c r="B737"/>
  <c r="A737"/>
  <c r="E736"/>
  <c r="C736"/>
  <c r="B736"/>
  <c r="A736"/>
  <c r="E735"/>
  <c r="C735"/>
  <c r="B735"/>
  <c r="A735"/>
  <c r="E734"/>
  <c r="C734"/>
  <c r="B734"/>
  <c r="A734"/>
  <c r="E733"/>
  <c r="C733"/>
  <c r="B733"/>
  <c r="A733"/>
  <c r="E732"/>
  <c r="C732"/>
  <c r="B732"/>
  <c r="A732"/>
  <c r="E731"/>
  <c r="C731"/>
  <c r="B731"/>
  <c r="A731"/>
  <c r="E730"/>
  <c r="C730"/>
  <c r="B730"/>
  <c r="A730"/>
  <c r="E729"/>
  <c r="C729"/>
  <c r="B729"/>
  <c r="A729"/>
  <c r="E728"/>
  <c r="C728"/>
  <c r="B728"/>
  <c r="A728"/>
  <c r="E727"/>
  <c r="C727"/>
  <c r="B727"/>
  <c r="A727"/>
  <c r="E726"/>
  <c r="C726"/>
  <c r="B726"/>
  <c r="A726"/>
  <c r="E725"/>
  <c r="C725"/>
  <c r="B725"/>
  <c r="A725"/>
  <c r="E724"/>
  <c r="C724"/>
  <c r="B724"/>
  <c r="A724"/>
  <c r="E723"/>
  <c r="C723"/>
  <c r="B723"/>
  <c r="A723"/>
  <c r="E722"/>
  <c r="C722"/>
  <c r="B722"/>
  <c r="A722"/>
  <c r="E721"/>
  <c r="C721"/>
  <c r="B721"/>
  <c r="A721"/>
  <c r="E720"/>
  <c r="C720"/>
  <c r="B720"/>
  <c r="A720"/>
  <c r="E719"/>
  <c r="C719"/>
  <c r="B719"/>
  <c r="A719"/>
  <c r="E718"/>
  <c r="C718"/>
  <c r="B718"/>
  <c r="A718"/>
  <c r="E717"/>
  <c r="C717"/>
  <c r="B717"/>
  <c r="A717"/>
  <c r="E716"/>
  <c r="C716"/>
  <c r="B716"/>
  <c r="A716"/>
  <c r="E715"/>
  <c r="C715"/>
  <c r="B715"/>
  <c r="A715"/>
  <c r="E714"/>
  <c r="C714"/>
  <c r="B714"/>
  <c r="A714"/>
  <c r="E713"/>
  <c r="C713"/>
  <c r="B713"/>
  <c r="A713"/>
  <c r="E712"/>
  <c r="C712"/>
  <c r="B712"/>
  <c r="A712"/>
  <c r="E711"/>
  <c r="C711"/>
  <c r="B711"/>
  <c r="A711"/>
  <c r="E710"/>
  <c r="C710"/>
  <c r="B710"/>
  <c r="A710"/>
  <c r="E709"/>
  <c r="C709"/>
  <c r="B709"/>
  <c r="A709"/>
  <c r="E708"/>
  <c r="C708"/>
  <c r="B708"/>
  <c r="A708"/>
  <c r="E707"/>
  <c r="C707"/>
  <c r="B707"/>
  <c r="A707"/>
  <c r="E706"/>
  <c r="C706"/>
  <c r="B706"/>
  <c r="A706"/>
  <c r="E705"/>
  <c r="C705"/>
  <c r="B705"/>
  <c r="A705"/>
  <c r="E704"/>
  <c r="C704"/>
  <c r="B704"/>
  <c r="A704"/>
  <c r="E703"/>
  <c r="C703"/>
  <c r="B703"/>
  <c r="A703"/>
  <c r="E702"/>
  <c r="C702"/>
  <c r="B702"/>
  <c r="A702"/>
  <c r="E701"/>
  <c r="C701"/>
  <c r="B701"/>
  <c r="A701"/>
  <c r="E700"/>
  <c r="C700"/>
  <c r="B700"/>
  <c r="A700"/>
  <c r="E699"/>
  <c r="C699"/>
  <c r="B699"/>
  <c r="A699"/>
  <c r="E698"/>
  <c r="C698"/>
  <c r="B698"/>
  <c r="A698"/>
  <c r="E697"/>
  <c r="C697"/>
  <c r="B697"/>
  <c r="A697"/>
  <c r="E696"/>
  <c r="C696"/>
  <c r="B696"/>
  <c r="A696"/>
  <c r="E695"/>
  <c r="C695"/>
  <c r="B695"/>
  <c r="A695"/>
  <c r="E694"/>
  <c r="C694"/>
  <c r="B694"/>
  <c r="A694"/>
  <c r="E693"/>
  <c r="C693"/>
  <c r="B693"/>
  <c r="A693"/>
  <c r="E692"/>
  <c r="C692"/>
  <c r="B692"/>
  <c r="A692"/>
  <c r="E691"/>
  <c r="C691"/>
  <c r="B691"/>
  <c r="A691"/>
  <c r="E690"/>
  <c r="C690"/>
  <c r="B690"/>
  <c r="A690"/>
  <c r="E689"/>
  <c r="C689"/>
  <c r="B689"/>
  <c r="A689"/>
  <c r="E688"/>
  <c r="C688"/>
  <c r="B688"/>
  <c r="A688"/>
  <c r="E687"/>
  <c r="C687"/>
  <c r="B687"/>
  <c r="A687"/>
  <c r="E686"/>
  <c r="C686"/>
  <c r="B686"/>
  <c r="A686"/>
  <c r="E685"/>
  <c r="C685"/>
  <c r="B685"/>
  <c r="A685"/>
  <c r="E684"/>
  <c r="C684"/>
  <c r="B684"/>
  <c r="A684"/>
  <c r="E683"/>
  <c r="C683"/>
  <c r="B683"/>
  <c r="A683"/>
  <c r="E682"/>
  <c r="C682"/>
  <c r="B682"/>
  <c r="A682"/>
  <c r="E681"/>
  <c r="C681"/>
  <c r="B681"/>
  <c r="A681"/>
  <c r="E680"/>
  <c r="C680"/>
  <c r="B680"/>
  <c r="A680"/>
  <c r="E679"/>
  <c r="C679"/>
  <c r="B679"/>
  <c r="A679"/>
  <c r="E678"/>
  <c r="C678"/>
  <c r="B678"/>
  <c r="A678"/>
  <c r="E677"/>
  <c r="C677"/>
  <c r="B677"/>
  <c r="A677"/>
  <c r="E676"/>
  <c r="C676"/>
  <c r="B676"/>
  <c r="A676"/>
  <c r="E675"/>
  <c r="C675"/>
  <c r="B675"/>
  <c r="A675"/>
  <c r="E674"/>
  <c r="C674"/>
  <c r="B674"/>
  <c r="A674"/>
  <c r="E673"/>
  <c r="C673"/>
  <c r="B673"/>
  <c r="A673"/>
  <c r="E672"/>
  <c r="C672"/>
  <c r="B672"/>
  <c r="A672"/>
  <c r="E671"/>
  <c r="C671"/>
  <c r="B671"/>
  <c r="A671"/>
  <c r="E670"/>
  <c r="C670"/>
  <c r="B670"/>
  <c r="A670"/>
  <c r="E669"/>
  <c r="C669"/>
  <c r="B669"/>
  <c r="A669"/>
  <c r="E668"/>
  <c r="C668"/>
  <c r="B668"/>
  <c r="A668"/>
  <c r="E667"/>
  <c r="C667"/>
  <c r="B667"/>
  <c r="A667"/>
  <c r="E666"/>
  <c r="C666"/>
  <c r="B666"/>
  <c r="A666"/>
  <c r="E665"/>
  <c r="C665"/>
  <c r="B665"/>
  <c r="A665"/>
  <c r="E664"/>
  <c r="C664"/>
  <c r="B664"/>
  <c r="A664"/>
  <c r="E663"/>
  <c r="C663"/>
  <c r="B663"/>
  <c r="A663"/>
  <c r="E662"/>
  <c r="C662"/>
  <c r="B662"/>
  <c r="A662"/>
  <c r="E661"/>
  <c r="C661"/>
  <c r="B661"/>
  <c r="A661"/>
  <c r="E660"/>
  <c r="C660"/>
  <c r="B660"/>
  <c r="A660"/>
  <c r="E659"/>
  <c r="C659"/>
  <c r="B659"/>
  <c r="A659"/>
  <c r="E658"/>
  <c r="C658"/>
  <c r="B658"/>
  <c r="A658"/>
  <c r="E657"/>
  <c r="C657"/>
  <c r="B657"/>
  <c r="A657"/>
  <c r="E656"/>
  <c r="C656"/>
  <c r="B656"/>
  <c r="A656"/>
  <c r="E655"/>
  <c r="C655"/>
  <c r="B655"/>
  <c r="A655"/>
  <c r="E654"/>
  <c r="C654"/>
  <c r="B654"/>
  <c r="A654"/>
  <c r="E653"/>
  <c r="C653"/>
  <c r="B653"/>
  <c r="A653"/>
  <c r="E652"/>
  <c r="C652"/>
  <c r="B652"/>
  <c r="A652"/>
  <c r="E651"/>
  <c r="C651"/>
  <c r="B651"/>
  <c r="A651"/>
  <c r="E650"/>
  <c r="C650"/>
  <c r="B650"/>
  <c r="A650"/>
  <c r="E649"/>
  <c r="C649"/>
  <c r="B649"/>
  <c r="A649"/>
  <c r="E648"/>
  <c r="C648"/>
  <c r="B648"/>
  <c r="A648"/>
  <c r="E647"/>
  <c r="C647"/>
  <c r="B647"/>
  <c r="A647"/>
  <c r="E646"/>
  <c r="C646"/>
  <c r="B646"/>
  <c r="A646"/>
  <c r="E645"/>
  <c r="C645"/>
  <c r="B645"/>
  <c r="A645"/>
  <c r="E644"/>
  <c r="C644"/>
  <c r="B644"/>
  <c r="A644"/>
  <c r="E643"/>
  <c r="C643"/>
  <c r="B643"/>
  <c r="A643"/>
  <c r="E642"/>
  <c r="C642"/>
  <c r="B642"/>
  <c r="A642"/>
  <c r="E641"/>
  <c r="C641"/>
  <c r="B641"/>
  <c r="A641"/>
  <c r="E640"/>
  <c r="C640"/>
  <c r="B640"/>
  <c r="A640"/>
  <c r="E639"/>
  <c r="C639"/>
  <c r="B639"/>
  <c r="A639"/>
  <c r="E638"/>
  <c r="C638"/>
  <c r="B638"/>
  <c r="A638"/>
  <c r="E637"/>
  <c r="C637"/>
  <c r="B637"/>
  <c r="A637"/>
  <c r="E636"/>
  <c r="C636"/>
  <c r="B636"/>
  <c r="A636"/>
  <c r="E635"/>
  <c r="C635"/>
  <c r="B635"/>
  <c r="A635"/>
  <c r="E634"/>
  <c r="C634"/>
  <c r="B634"/>
  <c r="A634"/>
  <c r="E633"/>
  <c r="C633"/>
  <c r="B633"/>
  <c r="A633"/>
  <c r="E632"/>
  <c r="C632"/>
  <c r="B632"/>
  <c r="A632"/>
  <c r="E631"/>
  <c r="C631"/>
  <c r="B631"/>
  <c r="A631"/>
  <c r="E630"/>
  <c r="C630"/>
  <c r="B630"/>
  <c r="A630"/>
  <c r="E629"/>
  <c r="C629"/>
  <c r="B629"/>
  <c r="A629"/>
  <c r="E628"/>
  <c r="C628"/>
  <c r="B628"/>
  <c r="A628"/>
  <c r="E627"/>
  <c r="C627"/>
  <c r="B627"/>
  <c r="A627"/>
  <c r="E626"/>
  <c r="C626"/>
  <c r="B626"/>
  <c r="A626"/>
  <c r="E625"/>
  <c r="C625"/>
  <c r="B625"/>
  <c r="A625"/>
  <c r="E624"/>
  <c r="C624"/>
  <c r="B624"/>
  <c r="A624"/>
  <c r="E623"/>
  <c r="C623"/>
  <c r="B623"/>
  <c r="A623"/>
  <c r="E622"/>
  <c r="C622"/>
  <c r="B622"/>
  <c r="A622"/>
  <c r="E621"/>
  <c r="C621"/>
  <c r="B621"/>
  <c r="A621"/>
  <c r="E620"/>
  <c r="C620"/>
  <c r="B620"/>
  <c r="A620"/>
  <c r="E619"/>
  <c r="C619"/>
  <c r="B619"/>
  <c r="A619"/>
  <c r="E618"/>
  <c r="C618"/>
  <c r="B618"/>
  <c r="A618"/>
  <c r="E617"/>
  <c r="C617"/>
  <c r="B617"/>
  <c r="A617"/>
  <c r="E616"/>
  <c r="C616"/>
  <c r="B616"/>
  <c r="A616"/>
  <c r="E615"/>
  <c r="C615"/>
  <c r="B615"/>
  <c r="A615"/>
  <c r="E614"/>
  <c r="C614"/>
  <c r="B614"/>
  <c r="A614"/>
  <c r="E613"/>
  <c r="C613"/>
  <c r="B613"/>
  <c r="A613"/>
  <c r="E612"/>
  <c r="C612"/>
  <c r="B612"/>
  <c r="A612"/>
  <c r="E611"/>
  <c r="C611"/>
  <c r="B611"/>
  <c r="A611"/>
  <c r="E610"/>
  <c r="C610"/>
  <c r="B610"/>
  <c r="A610"/>
  <c r="E609"/>
  <c r="C609"/>
  <c r="B609"/>
  <c r="A609"/>
  <c r="E608"/>
  <c r="C608"/>
  <c r="B608"/>
  <c r="A608"/>
  <c r="E607"/>
  <c r="C607"/>
  <c r="B607"/>
  <c r="A607"/>
  <c r="E606"/>
  <c r="C606"/>
  <c r="B606"/>
  <c r="A606"/>
  <c r="E605"/>
  <c r="C605"/>
  <c r="B605"/>
  <c r="A605"/>
  <c r="E604"/>
  <c r="C604"/>
  <c r="B604"/>
  <c r="A604"/>
  <c r="E603"/>
  <c r="C603"/>
  <c r="B603"/>
  <c r="A603"/>
  <c r="E602"/>
  <c r="C602"/>
  <c r="B602"/>
  <c r="A602"/>
  <c r="E601"/>
  <c r="C601"/>
  <c r="B601"/>
  <c r="A601"/>
  <c r="E600"/>
  <c r="C600"/>
  <c r="B600"/>
  <c r="A600"/>
  <c r="E599"/>
  <c r="C599"/>
  <c r="B599"/>
  <c r="A599"/>
  <c r="E598"/>
  <c r="C598"/>
  <c r="B598"/>
  <c r="A598"/>
  <c r="E597"/>
  <c r="C597"/>
  <c r="B597"/>
  <c r="A597"/>
  <c r="E596"/>
  <c r="C596"/>
  <c r="B596"/>
  <c r="A596"/>
  <c r="E595"/>
  <c r="C595"/>
  <c r="B595"/>
  <c r="A595"/>
  <c r="E594"/>
  <c r="C594"/>
  <c r="B594"/>
  <c r="A594"/>
  <c r="E593"/>
  <c r="C593"/>
  <c r="B593"/>
  <c r="A593"/>
  <c r="E592"/>
  <c r="C592"/>
  <c r="B592"/>
  <c r="A592"/>
  <c r="E591"/>
  <c r="C591"/>
  <c r="B591"/>
  <c r="A591"/>
  <c r="E590"/>
  <c r="C590"/>
  <c r="B590"/>
  <c r="A590"/>
  <c r="E589"/>
  <c r="C589"/>
  <c r="B589"/>
  <c r="A589"/>
  <c r="E588"/>
  <c r="C588"/>
  <c r="B588"/>
  <c r="A588"/>
  <c r="E587"/>
  <c r="C587"/>
  <c r="B587"/>
  <c r="A587"/>
  <c r="E586"/>
  <c r="C586"/>
  <c r="B586"/>
  <c r="A586"/>
  <c r="E585"/>
  <c r="C585"/>
  <c r="B585"/>
  <c r="A585"/>
  <c r="E584"/>
  <c r="C584"/>
  <c r="B584"/>
  <c r="A584"/>
  <c r="E583"/>
  <c r="C583"/>
  <c r="B583"/>
  <c r="A583"/>
  <c r="E582"/>
  <c r="C582"/>
  <c r="B582"/>
  <c r="A582"/>
  <c r="E581"/>
  <c r="C581"/>
  <c r="B581"/>
  <c r="A581"/>
  <c r="E580"/>
  <c r="C580"/>
  <c r="B580"/>
  <c r="A580"/>
  <c r="E579"/>
  <c r="C579"/>
  <c r="B579"/>
  <c r="A579"/>
  <c r="E578"/>
  <c r="C578"/>
  <c r="B578"/>
  <c r="A578"/>
  <c r="E577"/>
  <c r="C577"/>
  <c r="B577"/>
  <c r="A577"/>
  <c r="E576"/>
  <c r="C576"/>
  <c r="B576"/>
  <c r="A576"/>
  <c r="E575"/>
  <c r="C575"/>
  <c r="B575"/>
  <c r="A575"/>
  <c r="E574"/>
  <c r="C574"/>
  <c r="B574"/>
  <c r="A574"/>
  <c r="E573"/>
  <c r="C573"/>
  <c r="B573"/>
  <c r="A573"/>
  <c r="E572"/>
  <c r="C572"/>
  <c r="B572"/>
  <c r="A572"/>
  <c r="E571"/>
  <c r="C571"/>
  <c r="B571"/>
  <c r="A571"/>
  <c r="E570"/>
  <c r="C570"/>
  <c r="B570"/>
  <c r="A570"/>
  <c r="E569"/>
  <c r="C569"/>
  <c r="B569"/>
  <c r="A569"/>
  <c r="E568"/>
  <c r="C568"/>
  <c r="B568"/>
  <c r="A568"/>
  <c r="E567"/>
  <c r="C567"/>
  <c r="B567"/>
  <c r="A567"/>
  <c r="E566"/>
  <c r="C566"/>
  <c r="B566"/>
  <c r="A566"/>
  <c r="E565"/>
  <c r="C565"/>
  <c r="B565"/>
  <c r="A565"/>
  <c r="E564"/>
  <c r="C564"/>
  <c r="B564"/>
  <c r="A564"/>
  <c r="E563"/>
  <c r="C563"/>
  <c r="B563"/>
  <c r="A563"/>
  <c r="E562"/>
  <c r="C562"/>
  <c r="B562"/>
  <c r="A562"/>
  <c r="E561"/>
  <c r="C561"/>
  <c r="B561"/>
  <c r="A561"/>
  <c r="E560"/>
  <c r="C560"/>
  <c r="B560"/>
  <c r="A560"/>
  <c r="E559"/>
  <c r="C559"/>
  <c r="B559"/>
  <c r="A559"/>
  <c r="E558"/>
  <c r="C558"/>
  <c r="B558"/>
  <c r="A558"/>
  <c r="E557"/>
  <c r="C557"/>
  <c r="B557"/>
  <c r="A557"/>
  <c r="E556"/>
  <c r="C556"/>
  <c r="B556"/>
  <c r="A556"/>
  <c r="E555"/>
  <c r="C555"/>
  <c r="B555"/>
  <c r="A555"/>
  <c r="E554"/>
  <c r="C554"/>
  <c r="B554"/>
  <c r="A554"/>
  <c r="E553"/>
  <c r="C553"/>
  <c r="B553"/>
  <c r="A553"/>
  <c r="E552"/>
  <c r="C552"/>
  <c r="B552"/>
  <c r="A552"/>
  <c r="E551"/>
  <c r="C551"/>
  <c r="B551"/>
  <c r="A551"/>
  <c r="E550"/>
  <c r="C550"/>
  <c r="B550"/>
  <c r="A550"/>
  <c r="E549"/>
  <c r="C549"/>
  <c r="B549"/>
  <c r="A549"/>
  <c r="E548"/>
  <c r="C548"/>
  <c r="B548"/>
  <c r="A548"/>
  <c r="E547"/>
  <c r="C547"/>
  <c r="B547"/>
  <c r="A547"/>
  <c r="E546"/>
  <c r="C546"/>
  <c r="B546"/>
  <c r="A546"/>
  <c r="E545"/>
  <c r="C545"/>
  <c r="B545"/>
  <c r="A545"/>
  <c r="E544"/>
  <c r="C544"/>
  <c r="B544"/>
  <c r="A544"/>
  <c r="E543"/>
  <c r="C543"/>
  <c r="B543"/>
  <c r="A543"/>
  <c r="E542"/>
  <c r="C542"/>
  <c r="B542"/>
  <c r="A542"/>
  <c r="E541"/>
  <c r="C541"/>
  <c r="B541"/>
  <c r="A541"/>
  <c r="E540"/>
  <c r="C540"/>
  <c r="B540"/>
  <c r="A540"/>
  <c r="E539"/>
  <c r="C539"/>
  <c r="B539"/>
  <c r="A539"/>
  <c r="E538"/>
  <c r="C538"/>
  <c r="B538"/>
  <c r="A538"/>
  <c r="E537"/>
  <c r="C537"/>
  <c r="B537"/>
  <c r="A537"/>
  <c r="E536"/>
  <c r="C536"/>
  <c r="B536"/>
  <c r="A536"/>
  <c r="E535"/>
  <c r="C535"/>
  <c r="B535"/>
  <c r="A535"/>
  <c r="E534"/>
  <c r="C534"/>
  <c r="B534"/>
  <c r="A534"/>
  <c r="E533"/>
  <c r="C533"/>
  <c r="B533"/>
  <c r="A533"/>
  <c r="E532"/>
  <c r="C532"/>
  <c r="B532"/>
  <c r="A532"/>
  <c r="E531"/>
  <c r="C531"/>
  <c r="B531"/>
  <c r="A531"/>
  <c r="E530"/>
  <c r="C530"/>
  <c r="B530"/>
  <c r="A530"/>
  <c r="E529"/>
  <c r="C529"/>
  <c r="B529"/>
  <c r="A529"/>
  <c r="E528"/>
  <c r="C528"/>
  <c r="B528"/>
  <c r="A528"/>
  <c r="E527"/>
  <c r="C527"/>
  <c r="B527"/>
  <c r="A527"/>
  <c r="E526"/>
  <c r="C526"/>
  <c r="B526"/>
  <c r="A526"/>
  <c r="E525"/>
  <c r="C525"/>
  <c r="B525"/>
  <c r="A525"/>
  <c r="E524"/>
  <c r="C524"/>
  <c r="B524"/>
  <c r="A524"/>
  <c r="E523"/>
  <c r="C523"/>
  <c r="B523"/>
  <c r="A523"/>
  <c r="E522"/>
  <c r="C522"/>
  <c r="B522"/>
  <c r="A522"/>
  <c r="E521"/>
  <c r="C521"/>
  <c r="B521"/>
  <c r="A521"/>
  <c r="E520"/>
  <c r="C520"/>
  <c r="B520"/>
  <c r="A520"/>
  <c r="E519"/>
  <c r="C519"/>
  <c r="B519"/>
  <c r="A519"/>
  <c r="E518"/>
  <c r="C518"/>
  <c r="B518"/>
  <c r="A518"/>
  <c r="E517"/>
  <c r="C517"/>
  <c r="B517"/>
  <c r="A517"/>
  <c r="E516"/>
  <c r="C516"/>
  <c r="B516"/>
  <c r="A516"/>
  <c r="E515"/>
  <c r="C515"/>
  <c r="B515"/>
  <c r="A515"/>
  <c r="E514"/>
  <c r="C514"/>
  <c r="B514"/>
  <c r="A514"/>
  <c r="E513"/>
  <c r="C513"/>
  <c r="B513"/>
  <c r="A513"/>
  <c r="E512"/>
  <c r="C512"/>
  <c r="B512"/>
  <c r="A512"/>
  <c r="E511"/>
  <c r="C511"/>
  <c r="B511"/>
  <c r="A511"/>
  <c r="E510"/>
  <c r="C510"/>
  <c r="B510"/>
  <c r="A510"/>
  <c r="E509"/>
  <c r="C509"/>
  <c r="B509"/>
  <c r="A509"/>
  <c r="E508"/>
  <c r="C508"/>
  <c r="B508"/>
  <c r="A508"/>
  <c r="E507"/>
  <c r="C507"/>
  <c r="B507"/>
  <c r="A507"/>
  <c r="E506"/>
  <c r="C506"/>
  <c r="B506"/>
  <c r="A506"/>
  <c r="E505"/>
  <c r="C505"/>
  <c r="B505"/>
  <c r="A505"/>
  <c r="E504"/>
  <c r="C504"/>
  <c r="B504"/>
  <c r="A504"/>
  <c r="E503"/>
  <c r="C503"/>
  <c r="B503"/>
  <c r="A503"/>
  <c r="E502"/>
  <c r="C502"/>
  <c r="B502"/>
  <c r="A502"/>
  <c r="E501"/>
  <c r="C501"/>
  <c r="B501"/>
  <c r="A501"/>
  <c r="E500"/>
  <c r="C500"/>
  <c r="B500"/>
  <c r="A500"/>
  <c r="E499"/>
  <c r="C499"/>
  <c r="B499"/>
  <c r="A499"/>
  <c r="E498"/>
  <c r="C498"/>
  <c r="B498"/>
  <c r="A498"/>
  <c r="E497"/>
  <c r="C497"/>
  <c r="B497"/>
  <c r="A497"/>
  <c r="E496"/>
  <c r="C496"/>
  <c r="B496"/>
  <c r="A496"/>
  <c r="E495"/>
  <c r="C495"/>
  <c r="B495"/>
  <c r="A495"/>
  <c r="E494"/>
  <c r="C494"/>
  <c r="B494"/>
  <c r="A494"/>
  <c r="E493"/>
  <c r="C493"/>
  <c r="B493"/>
  <c r="A493"/>
  <c r="E492"/>
  <c r="C492"/>
  <c r="B492"/>
  <c r="A492"/>
  <c r="E491"/>
  <c r="C491"/>
  <c r="B491"/>
  <c r="A491"/>
  <c r="E490"/>
  <c r="C490"/>
  <c r="B490"/>
  <c r="A490"/>
  <c r="E489"/>
  <c r="C489"/>
  <c r="B489"/>
  <c r="A489"/>
  <c r="E488"/>
  <c r="C488"/>
  <c r="B488"/>
  <c r="A488"/>
  <c r="E487"/>
  <c r="C487"/>
  <c r="B487"/>
  <c r="A487"/>
  <c r="E486"/>
  <c r="C486"/>
  <c r="B486"/>
  <c r="A486"/>
  <c r="E485"/>
  <c r="C485"/>
  <c r="B485"/>
  <c r="A485"/>
  <c r="E484"/>
  <c r="C484"/>
  <c r="B484"/>
  <c r="A484"/>
  <c r="E483"/>
  <c r="C483"/>
  <c r="B483"/>
  <c r="A483"/>
  <c r="E482"/>
  <c r="C482"/>
  <c r="B482"/>
  <c r="A482"/>
  <c r="E481"/>
  <c r="C481"/>
  <c r="B481"/>
  <c r="A481"/>
  <c r="E480"/>
  <c r="C480"/>
  <c r="B480"/>
  <c r="A480"/>
  <c r="E479"/>
  <c r="C479"/>
  <c r="B479"/>
  <c r="A479"/>
  <c r="E478"/>
  <c r="C478"/>
  <c r="B478"/>
  <c r="A478"/>
  <c r="E477"/>
  <c r="C477"/>
  <c r="B477"/>
  <c r="A477"/>
  <c r="E476"/>
  <c r="C476"/>
  <c r="B476"/>
  <c r="A476"/>
  <c r="E475"/>
  <c r="C475"/>
  <c r="B475"/>
  <c r="A475"/>
  <c r="E474"/>
  <c r="C474"/>
  <c r="B474"/>
  <c r="A474"/>
  <c r="E473"/>
  <c r="C473"/>
  <c r="B473"/>
  <c r="A473"/>
  <c r="E472"/>
  <c r="C472"/>
  <c r="B472"/>
  <c r="A472"/>
  <c r="E471"/>
  <c r="C471"/>
  <c r="B471"/>
  <c r="A471"/>
  <c r="E470"/>
  <c r="C470"/>
  <c r="B470"/>
  <c r="A470"/>
  <c r="E469"/>
  <c r="C469"/>
  <c r="B469"/>
  <c r="A469"/>
  <c r="E468"/>
  <c r="C468"/>
  <c r="B468"/>
  <c r="A468"/>
  <c r="E467"/>
  <c r="C467"/>
  <c r="B467"/>
  <c r="A467"/>
  <c r="E466"/>
  <c r="C466"/>
  <c r="B466"/>
  <c r="A466"/>
  <c r="E465"/>
  <c r="C465"/>
  <c r="B465"/>
  <c r="A465"/>
  <c r="E464"/>
  <c r="C464"/>
  <c r="B464"/>
  <c r="A464"/>
  <c r="E463"/>
  <c r="C463"/>
  <c r="B463"/>
  <c r="A463"/>
  <c r="E462"/>
  <c r="C462"/>
  <c r="B462"/>
  <c r="A462"/>
  <c r="E461"/>
  <c r="C461"/>
  <c r="B461"/>
  <c r="A461"/>
  <c r="E460"/>
  <c r="C460"/>
  <c r="B460"/>
  <c r="A460"/>
  <c r="E459"/>
  <c r="C459"/>
  <c r="B459"/>
  <c r="A459"/>
  <c r="E458"/>
  <c r="C458"/>
  <c r="B458"/>
  <c r="A458"/>
  <c r="E457"/>
  <c r="C457"/>
  <c r="B457"/>
  <c r="A457"/>
  <c r="E456"/>
  <c r="C456"/>
  <c r="B456"/>
  <c r="A456"/>
  <c r="E455"/>
  <c r="C455"/>
  <c r="B455"/>
  <c r="A455"/>
  <c r="E454"/>
  <c r="C454"/>
  <c r="B454"/>
  <c r="A454"/>
  <c r="E453"/>
  <c r="C453"/>
  <c r="B453"/>
  <c r="A453"/>
  <c r="E452"/>
  <c r="C452"/>
  <c r="B452"/>
  <c r="A452"/>
  <c r="E451"/>
  <c r="C451"/>
  <c r="B451"/>
  <c r="A451"/>
  <c r="E450"/>
  <c r="C450"/>
  <c r="B450"/>
  <c r="A450"/>
  <c r="E449"/>
  <c r="C449"/>
  <c r="B449"/>
  <c r="A449"/>
  <c r="E448"/>
  <c r="C448"/>
  <c r="B448"/>
  <c r="A448"/>
  <c r="E447"/>
  <c r="C447"/>
  <c r="B447"/>
  <c r="A447"/>
  <c r="E446"/>
  <c r="C446"/>
  <c r="B446"/>
  <c r="A446"/>
  <c r="E445"/>
  <c r="C445"/>
  <c r="B445"/>
  <c r="A445"/>
  <c r="E444"/>
  <c r="C444"/>
  <c r="B444"/>
  <c r="A444"/>
  <c r="E443"/>
  <c r="C443"/>
  <c r="B443"/>
  <c r="A443"/>
  <c r="E442"/>
  <c r="C442"/>
  <c r="B442"/>
  <c r="A442"/>
  <c r="E441"/>
  <c r="C441"/>
  <c r="B441"/>
  <c r="A441"/>
  <c r="E440"/>
  <c r="C440"/>
  <c r="B440"/>
  <c r="A440"/>
  <c r="E439"/>
  <c r="C439"/>
  <c r="B439"/>
  <c r="A439"/>
  <c r="E438"/>
  <c r="C438"/>
  <c r="B438"/>
  <c r="A438"/>
  <c r="E437"/>
  <c r="C437"/>
  <c r="B437"/>
  <c r="A437"/>
  <c r="E436"/>
  <c r="C436"/>
  <c r="B436"/>
  <c r="A436"/>
  <c r="E435"/>
  <c r="C435"/>
  <c r="B435"/>
  <c r="A435"/>
  <c r="E434"/>
  <c r="C434"/>
  <c r="B434"/>
  <c r="A434"/>
  <c r="E433"/>
  <c r="C433"/>
  <c r="B433"/>
  <c r="A433"/>
  <c r="E432"/>
  <c r="C432"/>
  <c r="B432"/>
  <c r="A432"/>
  <c r="E431"/>
  <c r="C431"/>
  <c r="B431"/>
  <c r="A431"/>
  <c r="E430"/>
  <c r="C430"/>
  <c r="B430"/>
  <c r="A430"/>
  <c r="E429"/>
  <c r="C429"/>
  <c r="B429"/>
  <c r="A429"/>
  <c r="E428"/>
  <c r="C428"/>
  <c r="B428"/>
  <c r="A428"/>
  <c r="E427"/>
  <c r="C427"/>
  <c r="B427"/>
  <c r="A427"/>
  <c r="E426"/>
  <c r="C426"/>
  <c r="B426"/>
  <c r="A426"/>
  <c r="E425"/>
  <c r="C425"/>
  <c r="B425"/>
  <c r="A425"/>
  <c r="E424"/>
  <c r="C424"/>
  <c r="B424"/>
  <c r="A424"/>
  <c r="E423"/>
  <c r="C423"/>
  <c r="B423"/>
  <c r="A423"/>
  <c r="E422"/>
  <c r="C422"/>
  <c r="B422"/>
  <c r="A422"/>
  <c r="E421"/>
  <c r="C421"/>
  <c r="B421"/>
  <c r="A421"/>
  <c r="E420"/>
  <c r="C420"/>
  <c r="B420"/>
  <c r="A420"/>
  <c r="E419"/>
  <c r="C419"/>
  <c r="B419"/>
  <c r="A419"/>
  <c r="E418"/>
  <c r="C418"/>
  <c r="B418"/>
  <c r="A418"/>
  <c r="E417"/>
  <c r="C417"/>
  <c r="B417"/>
  <c r="A417"/>
  <c r="E416"/>
  <c r="C416"/>
  <c r="B416"/>
  <c r="A416"/>
  <c r="E415"/>
  <c r="C415"/>
  <c r="B415"/>
  <c r="A415"/>
  <c r="E414"/>
  <c r="C414"/>
  <c r="B414"/>
  <c r="A414"/>
  <c r="E413"/>
  <c r="C413"/>
  <c r="B413"/>
  <c r="A413"/>
  <c r="E412"/>
  <c r="C412"/>
  <c r="B412"/>
  <c r="A412"/>
  <c r="E411"/>
  <c r="C411"/>
  <c r="B411"/>
  <c r="A411"/>
  <c r="E410"/>
  <c r="C410"/>
  <c r="B410"/>
  <c r="A410"/>
  <c r="E409"/>
  <c r="C409"/>
  <c r="B409"/>
  <c r="A409"/>
  <c r="E408"/>
  <c r="C408"/>
  <c r="B408"/>
  <c r="A408"/>
  <c r="E407"/>
  <c r="C407"/>
  <c r="B407"/>
  <c r="A407"/>
  <c r="E406"/>
  <c r="C406"/>
  <c r="B406"/>
  <c r="A406"/>
  <c r="E405"/>
  <c r="C405"/>
  <c r="B405"/>
  <c r="A405"/>
  <c r="E404"/>
  <c r="C404"/>
  <c r="B404"/>
  <c r="A404"/>
  <c r="E403"/>
  <c r="C403"/>
  <c r="B403"/>
  <c r="A403"/>
  <c r="E402"/>
  <c r="C402"/>
  <c r="B402"/>
  <c r="A402"/>
  <c r="E401"/>
  <c r="C401"/>
  <c r="B401"/>
  <c r="A401"/>
  <c r="E400"/>
  <c r="C400"/>
  <c r="B400"/>
  <c r="A400"/>
  <c r="E399"/>
  <c r="C399"/>
  <c r="B399"/>
  <c r="A399"/>
  <c r="E398"/>
  <c r="C398"/>
  <c r="B398"/>
  <c r="A398"/>
  <c r="E397"/>
  <c r="C397"/>
  <c r="B397"/>
  <c r="A397"/>
  <c r="E396"/>
  <c r="C396"/>
  <c r="B396"/>
  <c r="A396"/>
  <c r="E395"/>
  <c r="C395"/>
  <c r="B395"/>
  <c r="A395"/>
  <c r="E394"/>
  <c r="C394"/>
  <c r="B394"/>
  <c r="A394"/>
  <c r="E393"/>
  <c r="C393"/>
  <c r="B393"/>
  <c r="A393"/>
  <c r="E392"/>
  <c r="C392"/>
  <c r="B392"/>
  <c r="A392"/>
  <c r="E391"/>
  <c r="C391"/>
  <c r="B391"/>
  <c r="A391"/>
  <c r="E390"/>
  <c r="C390"/>
  <c r="B390"/>
  <c r="A390"/>
  <c r="E389"/>
  <c r="C389"/>
  <c r="B389"/>
  <c r="A389"/>
  <c r="E388"/>
  <c r="C388"/>
  <c r="B388"/>
  <c r="A388"/>
  <c r="E387"/>
  <c r="C387"/>
  <c r="B387"/>
  <c r="A387"/>
  <c r="E386"/>
  <c r="C386"/>
  <c r="B386"/>
  <c r="A386"/>
  <c r="E385"/>
  <c r="C385"/>
  <c r="B385"/>
  <c r="A385"/>
  <c r="E384"/>
  <c r="C384"/>
  <c r="B384"/>
  <c r="A384"/>
  <c r="E383"/>
  <c r="C383"/>
  <c r="B383"/>
  <c r="A383"/>
  <c r="E382"/>
  <c r="C382"/>
  <c r="B382"/>
  <c r="A382"/>
  <c r="E381"/>
  <c r="C381"/>
  <c r="B381"/>
  <c r="A381"/>
  <c r="E380"/>
  <c r="C380"/>
  <c r="B380"/>
  <c r="A380"/>
  <c r="E379"/>
  <c r="C379"/>
  <c r="B379"/>
  <c r="A379"/>
  <c r="E378"/>
  <c r="C378"/>
  <c r="B378"/>
  <c r="A378"/>
  <c r="E377"/>
  <c r="C377"/>
  <c r="B377"/>
  <c r="A377"/>
  <c r="E376"/>
  <c r="C376"/>
  <c r="B376"/>
  <c r="A376"/>
  <c r="E375"/>
  <c r="C375"/>
  <c r="B375"/>
  <c r="A375"/>
  <c r="E374"/>
  <c r="C374"/>
  <c r="B374"/>
  <c r="A374"/>
  <c r="E373"/>
  <c r="C373"/>
  <c r="B373"/>
  <c r="A373"/>
  <c r="E372"/>
  <c r="C372"/>
  <c r="B372"/>
  <c r="A372"/>
  <c r="E371"/>
  <c r="C371"/>
  <c r="B371"/>
  <c r="A371"/>
  <c r="E370"/>
  <c r="C370"/>
  <c r="B370"/>
  <c r="A370"/>
  <c r="E369"/>
  <c r="C369"/>
  <c r="B369"/>
  <c r="A369"/>
  <c r="E368"/>
  <c r="C368"/>
  <c r="B368"/>
  <c r="A368"/>
  <c r="E367"/>
  <c r="C367"/>
  <c r="B367"/>
  <c r="A367"/>
  <c r="E366"/>
  <c r="C366"/>
  <c r="B366"/>
  <c r="A366"/>
  <c r="E365"/>
  <c r="C365"/>
  <c r="B365"/>
  <c r="A365"/>
  <c r="E364"/>
  <c r="C364"/>
  <c r="B364"/>
  <c r="A364"/>
  <c r="E363"/>
  <c r="C363"/>
  <c r="B363"/>
  <c r="A363"/>
  <c r="E362"/>
  <c r="C362"/>
  <c r="B362"/>
  <c r="A362"/>
  <c r="E361"/>
  <c r="C361"/>
  <c r="B361"/>
  <c r="A361"/>
  <c r="E360"/>
  <c r="C360"/>
  <c r="B360"/>
  <c r="A360"/>
  <c r="E359"/>
  <c r="C359"/>
  <c r="B359"/>
  <c r="A359"/>
  <c r="E358"/>
  <c r="C358"/>
  <c r="B358"/>
  <c r="A358"/>
  <c r="E357"/>
  <c r="C357"/>
  <c r="B357"/>
  <c r="A357"/>
  <c r="E356"/>
  <c r="C356"/>
  <c r="B356"/>
  <c r="A356"/>
  <c r="E355"/>
  <c r="C355"/>
  <c r="B355"/>
  <c r="A355"/>
  <c r="E354"/>
  <c r="C354"/>
  <c r="B354"/>
  <c r="A354"/>
  <c r="E353"/>
  <c r="C353"/>
  <c r="B353"/>
  <c r="A353"/>
  <c r="E352"/>
  <c r="C352"/>
  <c r="B352"/>
  <c r="A352"/>
  <c r="E351"/>
  <c r="C351"/>
  <c r="B351"/>
  <c r="A351"/>
  <c r="E350"/>
  <c r="C350"/>
  <c r="B350"/>
  <c r="A350"/>
  <c r="E349"/>
  <c r="C349"/>
  <c r="B349"/>
  <c r="A349"/>
  <c r="E348"/>
  <c r="C348"/>
  <c r="B348"/>
  <c r="A348"/>
  <c r="E347"/>
  <c r="C347"/>
  <c r="B347"/>
  <c r="A347"/>
  <c r="E346"/>
  <c r="C346"/>
  <c r="B346"/>
  <c r="A346"/>
  <c r="E345"/>
  <c r="C345"/>
  <c r="B345"/>
  <c r="A345"/>
  <c r="E344"/>
  <c r="C344"/>
  <c r="B344"/>
  <c r="A344"/>
  <c r="E343"/>
  <c r="C343"/>
  <c r="B343"/>
  <c r="A343"/>
  <c r="E342"/>
  <c r="C342"/>
  <c r="B342"/>
  <c r="A342"/>
  <c r="E341"/>
  <c r="C341"/>
  <c r="B341"/>
  <c r="A341"/>
  <c r="E340"/>
  <c r="C340"/>
  <c r="B340"/>
  <c r="A340"/>
  <c r="E339"/>
  <c r="C339"/>
  <c r="B339"/>
  <c r="A339"/>
  <c r="E338"/>
  <c r="C338"/>
  <c r="B338"/>
  <c r="A338"/>
  <c r="E337"/>
  <c r="C337"/>
  <c r="B337"/>
  <c r="A337"/>
  <c r="E336"/>
  <c r="C336"/>
  <c r="B336"/>
  <c r="A336"/>
  <c r="E335"/>
  <c r="C335"/>
  <c r="B335"/>
  <c r="A335"/>
  <c r="E334"/>
  <c r="C334"/>
  <c r="B334"/>
  <c r="A334"/>
  <c r="E333"/>
  <c r="C333"/>
  <c r="B333"/>
  <c r="A333"/>
  <c r="E332"/>
  <c r="C332"/>
  <c r="B332"/>
  <c r="A332"/>
  <c r="E331"/>
  <c r="C331"/>
  <c r="B331"/>
  <c r="A331"/>
  <c r="E330"/>
  <c r="C330"/>
  <c r="B330"/>
  <c r="A330"/>
  <c r="E329"/>
  <c r="C329"/>
  <c r="B329"/>
  <c r="A329"/>
  <c r="E328"/>
  <c r="C328"/>
  <c r="B328"/>
  <c r="A328"/>
  <c r="E327"/>
  <c r="C327"/>
  <c r="B327"/>
  <c r="A327"/>
  <c r="E326"/>
  <c r="C326"/>
  <c r="B326"/>
  <c r="A326"/>
  <c r="E325"/>
  <c r="C325"/>
  <c r="B325"/>
  <c r="A325"/>
  <c r="E324"/>
  <c r="C324"/>
  <c r="B324"/>
  <c r="A324"/>
  <c r="E323"/>
  <c r="C323"/>
  <c r="B323"/>
  <c r="A323"/>
  <c r="E322"/>
  <c r="C322"/>
  <c r="B322"/>
  <c r="A322"/>
  <c r="E321"/>
  <c r="C321"/>
  <c r="B321"/>
  <c r="A321"/>
  <c r="E320"/>
  <c r="C320"/>
  <c r="B320"/>
  <c r="A320"/>
  <c r="E319"/>
  <c r="C319"/>
  <c r="B319"/>
  <c r="A319"/>
  <c r="E318"/>
  <c r="C318"/>
  <c r="B318"/>
  <c r="A318"/>
  <c r="E317"/>
  <c r="C317"/>
  <c r="B317"/>
  <c r="A317"/>
  <c r="E316"/>
  <c r="C316"/>
  <c r="B316"/>
  <c r="A316"/>
  <c r="E315"/>
  <c r="C315"/>
  <c r="B315"/>
  <c r="A315"/>
  <c r="E314"/>
  <c r="C314"/>
  <c r="B314"/>
  <c r="A314"/>
  <c r="E313"/>
  <c r="C313"/>
  <c r="B313"/>
  <c r="A313"/>
  <c r="E312"/>
  <c r="C312"/>
  <c r="B312"/>
  <c r="A312"/>
  <c r="E311"/>
  <c r="C311"/>
  <c r="B311"/>
  <c r="A311"/>
  <c r="E310"/>
  <c r="C310"/>
  <c r="B310"/>
  <c r="A310"/>
  <c r="E309"/>
  <c r="C309"/>
  <c r="B309"/>
  <c r="A309"/>
  <c r="E308"/>
  <c r="C308"/>
  <c r="B308"/>
  <c r="A308"/>
  <c r="E307"/>
  <c r="C307"/>
  <c r="B307"/>
  <c r="A307"/>
  <c r="E306"/>
  <c r="C306"/>
  <c r="B306"/>
  <c r="A306"/>
  <c r="E305"/>
  <c r="C305"/>
  <c r="B305"/>
  <c r="A305"/>
  <c r="E304"/>
  <c r="C304"/>
  <c r="B304"/>
  <c r="A304"/>
  <c r="E303"/>
  <c r="C303"/>
  <c r="B303"/>
  <c r="A303"/>
  <c r="E302"/>
  <c r="C302"/>
  <c r="B302"/>
  <c r="A302"/>
  <c r="E301"/>
  <c r="C301"/>
  <c r="B301"/>
  <c r="A301"/>
  <c r="E300"/>
  <c r="C300"/>
  <c r="B300"/>
  <c r="A300"/>
  <c r="E299"/>
  <c r="C299"/>
  <c r="B299"/>
  <c r="A299"/>
  <c r="E298"/>
  <c r="C298"/>
  <c r="B298"/>
  <c r="A298"/>
  <c r="E297"/>
  <c r="C297"/>
  <c r="B297"/>
  <c r="A297"/>
  <c r="E296"/>
  <c r="C296"/>
  <c r="B296"/>
  <c r="A296"/>
  <c r="E295"/>
  <c r="C295"/>
  <c r="B295"/>
  <c r="A295"/>
  <c r="E294"/>
  <c r="C294"/>
  <c r="B294"/>
  <c r="A294"/>
  <c r="E293"/>
  <c r="C293"/>
  <c r="B293"/>
  <c r="A293"/>
  <c r="E292"/>
  <c r="C292"/>
  <c r="B292"/>
  <c r="A292"/>
  <c r="E291"/>
  <c r="C291"/>
  <c r="B291"/>
  <c r="A291"/>
  <c r="E290"/>
  <c r="C290"/>
  <c r="B290"/>
  <c r="A290"/>
  <c r="E289"/>
  <c r="C289"/>
  <c r="B289"/>
  <c r="A289"/>
  <c r="E288"/>
  <c r="C288"/>
  <c r="B288"/>
  <c r="A288"/>
  <c r="E287"/>
  <c r="C287"/>
  <c r="B287"/>
  <c r="A287"/>
  <c r="E286"/>
  <c r="C286"/>
  <c r="B286"/>
  <c r="A286"/>
  <c r="E285"/>
  <c r="C285"/>
  <c r="B285"/>
  <c r="A285"/>
  <c r="E284"/>
  <c r="C284"/>
  <c r="B284"/>
  <c r="A284"/>
  <c r="E283"/>
  <c r="C283"/>
  <c r="B283"/>
  <c r="A283"/>
  <c r="E282"/>
  <c r="C282"/>
  <c r="B282"/>
  <c r="A282"/>
  <c r="E281"/>
  <c r="C281"/>
  <c r="B281"/>
  <c r="A281"/>
  <c r="E280"/>
  <c r="C280"/>
  <c r="B280"/>
  <c r="A280"/>
  <c r="E279"/>
  <c r="C279"/>
  <c r="B279"/>
  <c r="A279"/>
  <c r="E278"/>
  <c r="C278"/>
  <c r="B278"/>
  <c r="A278"/>
  <c r="E277"/>
  <c r="C277"/>
  <c r="B277"/>
  <c r="A277"/>
  <c r="E276"/>
  <c r="C276"/>
  <c r="B276"/>
  <c r="A276"/>
  <c r="E275"/>
  <c r="C275"/>
  <c r="B275"/>
  <c r="A275"/>
  <c r="E274"/>
  <c r="C274"/>
  <c r="B274"/>
  <c r="A274"/>
  <c r="E273"/>
  <c r="C273"/>
  <c r="B273"/>
  <c r="A273"/>
  <c r="E272"/>
  <c r="C272"/>
  <c r="B272"/>
  <c r="A272"/>
  <c r="E271"/>
  <c r="C271"/>
  <c r="B271"/>
  <c r="A271"/>
  <c r="E270"/>
  <c r="C270"/>
  <c r="B270"/>
  <c r="A270"/>
  <c r="E269"/>
  <c r="C269"/>
  <c r="B269"/>
  <c r="A269"/>
  <c r="E268"/>
  <c r="C268"/>
  <c r="B268"/>
  <c r="A268"/>
  <c r="E267"/>
  <c r="C267"/>
  <c r="B267"/>
  <c r="A267"/>
  <c r="E266"/>
  <c r="C266"/>
  <c r="B266"/>
  <c r="A266"/>
  <c r="E265"/>
  <c r="C265"/>
  <c r="B265"/>
  <c r="A265"/>
  <c r="E264"/>
  <c r="C264"/>
  <c r="B264"/>
  <c r="A264"/>
  <c r="E263"/>
  <c r="C263"/>
  <c r="B263"/>
  <c r="A263"/>
  <c r="E262"/>
  <c r="C262"/>
  <c r="B262"/>
  <c r="A262"/>
  <c r="E261"/>
  <c r="C261"/>
  <c r="B261"/>
  <c r="A261"/>
  <c r="E260"/>
  <c r="C260"/>
  <c r="B260"/>
  <c r="A260"/>
  <c r="E259"/>
  <c r="C259"/>
  <c r="B259"/>
  <c r="A259"/>
  <c r="E258"/>
  <c r="C258"/>
  <c r="B258"/>
  <c r="A258"/>
  <c r="E257"/>
  <c r="C257"/>
  <c r="B257"/>
  <c r="A257"/>
  <c r="E256"/>
  <c r="C256"/>
  <c r="B256"/>
  <c r="A256"/>
  <c r="E255"/>
  <c r="C255"/>
  <c r="B255"/>
  <c r="A255"/>
  <c r="E254"/>
  <c r="C254"/>
  <c r="B254"/>
  <c r="A254"/>
  <c r="E253"/>
  <c r="C253"/>
  <c r="B253"/>
  <c r="A253"/>
  <c r="E252"/>
  <c r="C252"/>
  <c r="B252"/>
  <c r="A252"/>
  <c r="E251"/>
  <c r="C251"/>
  <c r="B251"/>
  <c r="A251"/>
  <c r="E250"/>
  <c r="C250"/>
  <c r="B250"/>
  <c r="A250"/>
  <c r="E249"/>
  <c r="C249"/>
  <c r="B249"/>
  <c r="A249"/>
  <c r="E248"/>
  <c r="C248"/>
  <c r="B248"/>
  <c r="A248"/>
  <c r="E247"/>
  <c r="C247"/>
  <c r="B247"/>
  <c r="A247"/>
  <c r="E246"/>
  <c r="C246"/>
  <c r="B246"/>
  <c r="A246"/>
  <c r="E245"/>
  <c r="C245"/>
  <c r="B245"/>
  <c r="A245"/>
  <c r="E244"/>
  <c r="C244"/>
  <c r="B244"/>
  <c r="A244"/>
  <c r="E243"/>
  <c r="C243"/>
  <c r="B243"/>
  <c r="A243"/>
  <c r="E242"/>
  <c r="C242"/>
  <c r="B242"/>
  <c r="A242"/>
  <c r="E241"/>
  <c r="C241"/>
  <c r="B241"/>
  <c r="A241"/>
  <c r="E240"/>
  <c r="C240"/>
  <c r="B240"/>
  <c r="A240"/>
  <c r="E239"/>
  <c r="C239"/>
  <c r="B239"/>
  <c r="A239"/>
  <c r="E238"/>
  <c r="C238"/>
  <c r="B238"/>
  <c r="A238"/>
  <c r="E237"/>
  <c r="C237"/>
  <c r="B237"/>
  <c r="A237"/>
  <c r="E236"/>
  <c r="C236"/>
  <c r="B236"/>
  <c r="A236"/>
  <c r="E235"/>
  <c r="C235"/>
  <c r="B235"/>
  <c r="A235"/>
  <c r="E234"/>
  <c r="C234"/>
  <c r="B234"/>
  <c r="A234"/>
  <c r="E233"/>
  <c r="C233"/>
  <c r="B233"/>
  <c r="A233"/>
  <c r="E232"/>
  <c r="C232"/>
  <c r="B232"/>
  <c r="A232"/>
  <c r="E231"/>
  <c r="C231"/>
  <c r="B231"/>
  <c r="A231"/>
  <c r="E230"/>
  <c r="C230"/>
  <c r="B230"/>
  <c r="A230"/>
  <c r="E229"/>
  <c r="C229"/>
  <c r="B229"/>
  <c r="A229"/>
  <c r="E228"/>
  <c r="C228"/>
  <c r="B228"/>
  <c r="A228"/>
  <c r="E227"/>
  <c r="C227"/>
  <c r="B227"/>
  <c r="A227"/>
  <c r="E226"/>
  <c r="C226"/>
  <c r="B226"/>
  <c r="A226"/>
  <c r="E225"/>
  <c r="C225"/>
  <c r="B225"/>
  <c r="A225"/>
  <c r="E224"/>
  <c r="C224"/>
  <c r="B224"/>
  <c r="A224"/>
  <c r="E223"/>
  <c r="C223"/>
  <c r="B223"/>
  <c r="A223"/>
  <c r="E222"/>
  <c r="C222"/>
  <c r="B222"/>
  <c r="A222"/>
  <c r="E221"/>
  <c r="C221"/>
  <c r="B221"/>
  <c r="A221"/>
  <c r="E220"/>
  <c r="C220"/>
  <c r="B220"/>
  <c r="A220"/>
  <c r="E219"/>
  <c r="C219"/>
  <c r="B219"/>
  <c r="A219"/>
  <c r="E218"/>
  <c r="C218"/>
  <c r="B218"/>
  <c r="A218"/>
  <c r="E217"/>
  <c r="C217"/>
  <c r="B217"/>
  <c r="A217"/>
  <c r="E216"/>
  <c r="C216"/>
  <c r="B216"/>
  <c r="A216"/>
  <c r="E215"/>
  <c r="C215"/>
  <c r="B215"/>
  <c r="A215"/>
  <c r="E214"/>
  <c r="C214"/>
  <c r="B214"/>
  <c r="A214"/>
  <c r="E213"/>
  <c r="C213"/>
  <c r="B213"/>
  <c r="A213"/>
  <c r="E212"/>
  <c r="C212"/>
  <c r="B212"/>
  <c r="A212"/>
  <c r="E211"/>
  <c r="C211"/>
  <c r="B211"/>
  <c r="A211"/>
  <c r="E210"/>
  <c r="C210"/>
  <c r="B210"/>
  <c r="A210"/>
  <c r="E209"/>
  <c r="C209"/>
  <c r="B209"/>
  <c r="A209"/>
  <c r="E208"/>
  <c r="C208"/>
  <c r="B208"/>
  <c r="A208"/>
  <c r="E207"/>
  <c r="C207"/>
  <c r="B207"/>
  <c r="A207"/>
  <c r="E206"/>
  <c r="C206"/>
  <c r="B206"/>
  <c r="A206"/>
  <c r="E205"/>
  <c r="C205"/>
  <c r="B205"/>
  <c r="A205"/>
  <c r="E204"/>
  <c r="C204"/>
  <c r="B204"/>
  <c r="A204"/>
  <c r="E203"/>
  <c r="C203"/>
  <c r="B203"/>
  <c r="A203"/>
  <c r="E202"/>
  <c r="C202"/>
  <c r="B202"/>
  <c r="A202"/>
  <c r="E201"/>
  <c r="C201"/>
  <c r="B201"/>
  <c r="A201"/>
  <c r="E200"/>
  <c r="C200"/>
  <c r="B200"/>
  <c r="A200"/>
  <c r="E199"/>
  <c r="C199"/>
  <c r="B199"/>
  <c r="A199"/>
  <c r="E198"/>
  <c r="C198"/>
  <c r="B198"/>
  <c r="A198"/>
  <c r="E197"/>
  <c r="C197"/>
  <c r="B197"/>
  <c r="A197"/>
  <c r="E196"/>
  <c r="C196"/>
  <c r="B196"/>
  <c r="A196"/>
  <c r="E195"/>
  <c r="C195"/>
  <c r="B195"/>
  <c r="A195"/>
  <c r="E194"/>
  <c r="C194"/>
  <c r="B194"/>
  <c r="A194"/>
  <c r="E193"/>
  <c r="C193"/>
  <c r="B193"/>
  <c r="A193"/>
  <c r="E192"/>
  <c r="C192"/>
  <c r="B192"/>
  <c r="A192"/>
  <c r="E191"/>
  <c r="C191"/>
  <c r="B191"/>
  <c r="A191"/>
  <c r="E190"/>
  <c r="C190"/>
  <c r="B190"/>
  <c r="A190"/>
  <c r="E189"/>
  <c r="C189"/>
  <c r="B189"/>
  <c r="A189"/>
  <c r="E188"/>
  <c r="C188"/>
  <c r="B188"/>
  <c r="A188"/>
  <c r="E187"/>
  <c r="C187"/>
  <c r="B187"/>
  <c r="A187"/>
  <c r="E186"/>
  <c r="C186"/>
  <c r="B186"/>
  <c r="A186"/>
  <c r="E185"/>
  <c r="C185"/>
  <c r="B185"/>
  <c r="A185"/>
  <c r="E184"/>
  <c r="C184"/>
  <c r="B184"/>
  <c r="A184"/>
  <c r="E183"/>
  <c r="C183"/>
  <c r="B183"/>
  <c r="A183"/>
  <c r="E182"/>
  <c r="C182"/>
  <c r="B182"/>
  <c r="A182"/>
  <c r="E181"/>
  <c r="C181"/>
  <c r="B181"/>
  <c r="A181"/>
  <c r="E180"/>
  <c r="C180"/>
  <c r="B180"/>
  <c r="A180"/>
  <c r="E179"/>
  <c r="C179"/>
  <c r="B179"/>
  <c r="A179"/>
  <c r="E178"/>
  <c r="C178"/>
  <c r="B178"/>
  <c r="A178"/>
  <c r="E177"/>
  <c r="C177"/>
  <c r="B177"/>
  <c r="A177"/>
  <c r="E176"/>
  <c r="C176"/>
  <c r="B176"/>
  <c r="A176"/>
  <c r="E175"/>
  <c r="C175"/>
  <c r="B175"/>
  <c r="A175"/>
  <c r="E174"/>
  <c r="C174"/>
  <c r="B174"/>
  <c r="A174"/>
  <c r="E173"/>
  <c r="C173"/>
  <c r="B173"/>
  <c r="A173"/>
  <c r="E172"/>
  <c r="C172"/>
  <c r="B172"/>
  <c r="A172"/>
  <c r="E171"/>
  <c r="C171"/>
  <c r="B171"/>
  <c r="A171"/>
  <c r="E170"/>
  <c r="C170"/>
  <c r="B170"/>
  <c r="A170"/>
  <c r="E169"/>
  <c r="C169"/>
  <c r="B169"/>
  <c r="A169"/>
  <c r="E168"/>
  <c r="C168"/>
  <c r="B168"/>
  <c r="A168"/>
  <c r="E167"/>
  <c r="C167"/>
  <c r="B167"/>
  <c r="A167"/>
  <c r="E166"/>
  <c r="C166"/>
  <c r="B166"/>
  <c r="A166"/>
  <c r="E165"/>
  <c r="C165"/>
  <c r="B165"/>
  <c r="A165"/>
  <c r="E164"/>
  <c r="C164"/>
  <c r="B164"/>
  <c r="A164"/>
  <c r="E163"/>
  <c r="C163"/>
  <c r="B163"/>
  <c r="A163"/>
  <c r="E162"/>
  <c r="C162"/>
  <c r="B162"/>
  <c r="A162"/>
  <c r="E161"/>
  <c r="C161"/>
  <c r="B161"/>
  <c r="A161"/>
  <c r="E160"/>
  <c r="C160"/>
  <c r="B160"/>
  <c r="A160"/>
  <c r="E159"/>
  <c r="C159"/>
  <c r="B159"/>
  <c r="A159"/>
  <c r="E158"/>
  <c r="C158"/>
  <c r="B158"/>
  <c r="A158"/>
  <c r="E157"/>
  <c r="C157"/>
  <c r="B157"/>
  <c r="A157"/>
  <c r="E156"/>
  <c r="C156"/>
  <c r="B156"/>
  <c r="A156"/>
  <c r="E155"/>
  <c r="C155"/>
  <c r="B155"/>
  <c r="A155"/>
  <c r="E154"/>
  <c r="C154"/>
  <c r="B154"/>
  <c r="A154"/>
  <c r="E153"/>
  <c r="C153"/>
  <c r="B153"/>
  <c r="A153"/>
  <c r="E152"/>
  <c r="C152"/>
  <c r="B152"/>
  <c r="A152"/>
  <c r="E151"/>
  <c r="C151"/>
  <c r="B151"/>
  <c r="A151"/>
  <c r="E150"/>
  <c r="C150"/>
  <c r="B150"/>
  <c r="A150"/>
  <c r="E149"/>
  <c r="C149"/>
  <c r="B149"/>
  <c r="A149"/>
  <c r="E148"/>
  <c r="C148"/>
  <c r="B148"/>
  <c r="A148"/>
  <c r="E147"/>
  <c r="C147"/>
  <c r="B147"/>
  <c r="A147"/>
  <c r="E146"/>
  <c r="C146"/>
  <c r="B146"/>
  <c r="A146"/>
  <c r="E145"/>
  <c r="C145"/>
  <c r="B145"/>
  <c r="A145"/>
  <c r="E144"/>
  <c r="C144"/>
  <c r="B144"/>
  <c r="A144"/>
  <c r="E143"/>
  <c r="C143"/>
  <c r="B143"/>
  <c r="A143"/>
  <c r="E142"/>
  <c r="C142"/>
  <c r="B142"/>
  <c r="A142"/>
  <c r="E141"/>
  <c r="C141"/>
  <c r="B141"/>
  <c r="A141"/>
  <c r="E140"/>
  <c r="C140"/>
  <c r="B140"/>
  <c r="A140"/>
  <c r="E139"/>
  <c r="C139"/>
  <c r="B139"/>
  <c r="A139"/>
  <c r="E138"/>
  <c r="C138"/>
  <c r="B138"/>
  <c r="A138"/>
  <c r="E137"/>
  <c r="C137"/>
  <c r="B137"/>
  <c r="A137"/>
  <c r="E136"/>
  <c r="C136"/>
  <c r="B136"/>
  <c r="A136"/>
  <c r="E135"/>
  <c r="C135"/>
  <c r="B135"/>
  <c r="A135"/>
  <c r="E134"/>
  <c r="C134"/>
  <c r="B134"/>
  <c r="A134"/>
  <c r="E133"/>
  <c r="C133"/>
  <c r="B133"/>
  <c r="A133"/>
  <c r="E132"/>
  <c r="C132"/>
  <c r="B132"/>
  <c r="A132"/>
  <c r="E131"/>
  <c r="C131"/>
  <c r="B131"/>
  <c r="A131"/>
  <c r="E130"/>
  <c r="C130"/>
  <c r="B130"/>
  <c r="A130"/>
  <c r="E129"/>
  <c r="C129"/>
  <c r="B129"/>
  <c r="A129"/>
  <c r="E128"/>
  <c r="C128"/>
  <c r="B128"/>
  <c r="A128"/>
  <c r="E127"/>
  <c r="C127"/>
  <c r="B127"/>
  <c r="A127"/>
  <c r="E126"/>
  <c r="C126"/>
  <c r="B126"/>
  <c r="A126"/>
  <c r="E125"/>
  <c r="C125"/>
  <c r="B125"/>
  <c r="A125"/>
  <c r="E124"/>
  <c r="C124"/>
  <c r="B124"/>
  <c r="A124"/>
  <c r="E123"/>
  <c r="C123"/>
  <c r="B123"/>
  <c r="A123"/>
  <c r="E122"/>
  <c r="C122"/>
  <c r="B122"/>
  <c r="A122"/>
  <c r="E121"/>
  <c r="C121"/>
  <c r="B121"/>
  <c r="A121"/>
  <c r="E120"/>
  <c r="C120"/>
  <c r="B120"/>
  <c r="A120"/>
  <c r="E119"/>
  <c r="C119"/>
  <c r="B119"/>
  <c r="A119"/>
  <c r="E118"/>
  <c r="C118"/>
  <c r="B118"/>
  <c r="A118"/>
  <c r="E117"/>
  <c r="C117"/>
  <c r="B117"/>
  <c r="A117"/>
  <c r="E116"/>
  <c r="C116"/>
  <c r="B116"/>
  <c r="A116"/>
  <c r="E115"/>
  <c r="C115"/>
  <c r="B115"/>
  <c r="A115"/>
  <c r="E114"/>
  <c r="C114"/>
  <c r="B114"/>
  <c r="A114"/>
  <c r="E113"/>
  <c r="C113"/>
  <c r="B113"/>
  <c r="A113"/>
  <c r="E112"/>
  <c r="C112"/>
  <c r="B112"/>
  <c r="A112"/>
  <c r="E111"/>
  <c r="C111"/>
  <c r="B111"/>
  <c r="A111"/>
  <c r="E110"/>
  <c r="C110"/>
  <c r="B110"/>
  <c r="A110"/>
  <c r="E109"/>
  <c r="C109"/>
  <c r="B109"/>
  <c r="A109"/>
  <c r="E108"/>
  <c r="C108"/>
  <c r="B108"/>
  <c r="A108"/>
  <c r="E107"/>
  <c r="C107"/>
  <c r="B107"/>
  <c r="A107"/>
  <c r="E106"/>
  <c r="C106"/>
  <c r="B106"/>
  <c r="A106"/>
  <c r="E105"/>
  <c r="C105"/>
  <c r="B105"/>
  <c r="A105"/>
  <c r="E104"/>
  <c r="C104"/>
  <c r="B104"/>
  <c r="A104"/>
  <c r="E103"/>
  <c r="C103"/>
  <c r="B103"/>
  <c r="A103"/>
  <c r="E102"/>
  <c r="C102"/>
  <c r="B102"/>
  <c r="A102"/>
  <c r="E101"/>
  <c r="C101"/>
  <c r="B101"/>
  <c r="A101"/>
  <c r="E100"/>
  <c r="C100"/>
  <c r="B100"/>
  <c r="A100"/>
  <c r="E99"/>
  <c r="C99"/>
  <c r="B99"/>
  <c r="A99"/>
  <c r="E98"/>
  <c r="C98"/>
  <c r="B98"/>
  <c r="A98"/>
  <c r="E97"/>
  <c r="C97"/>
  <c r="B97"/>
  <c r="A97"/>
  <c r="E96"/>
  <c r="C96"/>
  <c r="B96"/>
  <c r="A96"/>
  <c r="E95"/>
  <c r="C95"/>
  <c r="B95"/>
  <c r="A95"/>
  <c r="E94"/>
  <c r="C94"/>
  <c r="B94"/>
  <c r="A94"/>
  <c r="E93"/>
  <c r="C93"/>
  <c r="B93"/>
  <c r="A93"/>
  <c r="E92"/>
  <c r="C92"/>
  <c r="B92"/>
  <c r="A92"/>
  <c r="E91"/>
  <c r="C91"/>
  <c r="B91"/>
  <c r="A91"/>
  <c r="E90"/>
  <c r="C90"/>
  <c r="B90"/>
  <c r="A90"/>
  <c r="E89"/>
  <c r="C89"/>
  <c r="B89"/>
  <c r="A89"/>
  <c r="E88"/>
  <c r="C88"/>
  <c r="B88"/>
  <c r="A88"/>
  <c r="E87"/>
  <c r="C87"/>
  <c r="B87"/>
  <c r="A87"/>
  <c r="E86"/>
  <c r="C86"/>
  <c r="B86"/>
  <c r="A86"/>
  <c r="E85"/>
  <c r="C85"/>
  <c r="B85"/>
  <c r="A85"/>
  <c r="E84"/>
  <c r="C84"/>
  <c r="B84"/>
  <c r="A84"/>
  <c r="E83"/>
  <c r="C83"/>
  <c r="B83"/>
  <c r="A83"/>
  <c r="E82"/>
  <c r="C82"/>
  <c r="B82"/>
  <c r="A82"/>
  <c r="E81"/>
  <c r="C81"/>
  <c r="B81"/>
  <c r="A81"/>
  <c r="E80"/>
  <c r="C80"/>
  <c r="B80"/>
  <c r="A80"/>
  <c r="E79"/>
  <c r="C79"/>
  <c r="B79"/>
  <c r="A79"/>
  <c r="E78"/>
  <c r="C78"/>
  <c r="B78"/>
  <c r="A78"/>
  <c r="E77"/>
  <c r="C77"/>
  <c r="B77"/>
  <c r="A77"/>
  <c r="E76"/>
  <c r="C76"/>
  <c r="B76"/>
  <c r="A76"/>
  <c r="E75"/>
  <c r="C75"/>
  <c r="B75"/>
  <c r="A75"/>
  <c r="E74"/>
  <c r="C74"/>
  <c r="B74"/>
  <c r="A74"/>
  <c r="E73"/>
  <c r="C73"/>
  <c r="B73"/>
  <c r="A73"/>
  <c r="E72"/>
  <c r="C72"/>
  <c r="B72"/>
  <c r="A72"/>
  <c r="E71"/>
  <c r="C71"/>
  <c r="B71"/>
  <c r="A71"/>
  <c r="E70"/>
  <c r="C70"/>
  <c r="B70"/>
  <c r="A70"/>
  <c r="E69"/>
  <c r="C69"/>
  <c r="B69"/>
  <c r="A69"/>
  <c r="E68"/>
  <c r="C68"/>
  <c r="B68"/>
  <c r="A68"/>
  <c r="E67"/>
  <c r="C67"/>
  <c r="B67"/>
  <c r="A67"/>
  <c r="E66"/>
  <c r="C66"/>
  <c r="B66"/>
  <c r="A66"/>
  <c r="E65"/>
  <c r="C65"/>
  <c r="B65"/>
  <c r="A65"/>
  <c r="E64"/>
  <c r="C64"/>
  <c r="B64"/>
  <c r="A64"/>
  <c r="E63"/>
  <c r="C63"/>
  <c r="B63"/>
  <c r="A63"/>
  <c r="E62"/>
  <c r="C62"/>
  <c r="B62"/>
  <c r="A62"/>
  <c r="E61"/>
  <c r="C61"/>
  <c r="B61"/>
  <c r="A61"/>
  <c r="E60"/>
  <c r="C60"/>
  <c r="B60"/>
  <c r="A60"/>
  <c r="E59"/>
  <c r="C59"/>
  <c r="B59"/>
  <c r="A59"/>
  <c r="E58"/>
  <c r="C58"/>
  <c r="B58"/>
  <c r="A58"/>
  <c r="E57"/>
  <c r="C57"/>
  <c r="B57"/>
  <c r="A57"/>
  <c r="E56"/>
  <c r="C56"/>
  <c r="B56"/>
  <c r="A56"/>
  <c r="E55"/>
  <c r="C55"/>
  <c r="B55"/>
  <c r="A55"/>
  <c r="E54"/>
  <c r="C54"/>
  <c r="B54"/>
  <c r="A54"/>
  <c r="E53"/>
  <c r="C53"/>
  <c r="B53"/>
  <c r="A53"/>
  <c r="E52"/>
  <c r="C52"/>
  <c r="B52"/>
  <c r="A52"/>
  <c r="E51"/>
  <c r="C51"/>
  <c r="B51"/>
  <c r="A51"/>
  <c r="E50"/>
  <c r="C50"/>
  <c r="B50"/>
  <c r="A50"/>
  <c r="E49"/>
  <c r="C49"/>
  <c r="B49"/>
  <c r="A49"/>
  <c r="E48"/>
  <c r="C48"/>
  <c r="B48"/>
  <c r="A48"/>
  <c r="E47"/>
  <c r="C47"/>
  <c r="B47"/>
  <c r="A47"/>
  <c r="E46"/>
  <c r="C46"/>
  <c r="B46"/>
  <c r="A46"/>
  <c r="E45"/>
  <c r="C45"/>
  <c r="B45"/>
  <c r="A45"/>
  <c r="E44"/>
  <c r="C44"/>
  <c r="B44"/>
  <c r="A44"/>
  <c r="E43"/>
  <c r="C43"/>
  <c r="B43"/>
  <c r="A43"/>
  <c r="E42"/>
  <c r="C42"/>
  <c r="B42"/>
  <c r="A42"/>
  <c r="E41"/>
  <c r="C41"/>
  <c r="B41"/>
  <c r="A41"/>
  <c r="E40"/>
  <c r="C40"/>
  <c r="B40"/>
  <c r="A40"/>
  <c r="E39"/>
  <c r="C39"/>
  <c r="B39"/>
  <c r="A39"/>
  <c r="E38"/>
  <c r="C38"/>
  <c r="B38"/>
  <c r="A38"/>
  <c r="E37"/>
  <c r="C37"/>
  <c r="B37"/>
  <c r="A37"/>
  <c r="E36"/>
  <c r="C36"/>
  <c r="B36"/>
  <c r="A36"/>
  <c r="E35"/>
  <c r="C35"/>
  <c r="B35"/>
  <c r="A35"/>
  <c r="E34"/>
  <c r="C34"/>
  <c r="B34"/>
  <c r="A34"/>
  <c r="E33"/>
  <c r="C33"/>
  <c r="B33"/>
  <c r="A33"/>
  <c r="E32"/>
  <c r="C32"/>
  <c r="B32"/>
  <c r="A32"/>
  <c r="E31"/>
  <c r="C31"/>
  <c r="B31"/>
  <c r="A31"/>
  <c r="E30"/>
  <c r="C30"/>
  <c r="B30"/>
  <c r="A30"/>
  <c r="E29"/>
  <c r="C29"/>
  <c r="B29"/>
  <c r="A29"/>
  <c r="E28"/>
  <c r="C28"/>
  <c r="B28"/>
  <c r="A28"/>
  <c r="E27"/>
  <c r="C27"/>
  <c r="B27"/>
  <c r="A27"/>
  <c r="E26"/>
  <c r="C26"/>
  <c r="B26"/>
  <c r="A26"/>
  <c r="E25"/>
  <c r="C25"/>
  <c r="B25"/>
  <c r="A25"/>
  <c r="E24"/>
  <c r="C24"/>
  <c r="B24"/>
  <c r="A24"/>
  <c r="E23"/>
  <c r="C23"/>
  <c r="B23"/>
  <c r="A23"/>
  <c r="E22"/>
  <c r="C22"/>
  <c r="B22"/>
  <c r="A22"/>
  <c r="E21"/>
  <c r="C21"/>
  <c r="B21"/>
  <c r="A21"/>
  <c r="E20"/>
  <c r="C20"/>
  <c r="B20"/>
  <c r="A20"/>
  <c r="E19"/>
  <c r="C19"/>
  <c r="B19"/>
  <c r="A19"/>
  <c r="E18"/>
  <c r="C18"/>
  <c r="B18"/>
  <c r="A18"/>
  <c r="E17"/>
  <c r="C17"/>
  <c r="B17"/>
  <c r="A17"/>
  <c r="E16"/>
  <c r="C16"/>
  <c r="B16"/>
  <c r="A16"/>
  <c r="E15"/>
  <c r="C15"/>
  <c r="B15"/>
  <c r="A15"/>
  <c r="E14"/>
  <c r="C14"/>
  <c r="B14"/>
  <c r="A14"/>
  <c r="E13"/>
  <c r="C13"/>
  <c r="B13"/>
  <c r="A13"/>
  <c r="E12"/>
  <c r="C12"/>
  <c r="B12"/>
  <c r="A12"/>
  <c r="E11"/>
  <c r="C11"/>
  <c r="B11"/>
  <c r="A11"/>
  <c r="E10"/>
  <c r="C10"/>
  <c r="B10"/>
  <c r="A10"/>
  <c r="E9"/>
  <c r="C9"/>
  <c r="B9"/>
  <c r="A9"/>
  <c r="E8"/>
  <c r="C8"/>
  <c r="B8"/>
  <c r="A8"/>
  <c r="E7"/>
  <c r="C7"/>
  <c r="B7"/>
  <c r="A7"/>
  <c r="E6"/>
  <c r="C6"/>
  <c r="B6"/>
  <c r="A6"/>
  <c r="E5"/>
  <c r="C5"/>
  <c r="B5"/>
  <c r="A5"/>
  <c r="E4"/>
  <c r="C4"/>
  <c r="B4"/>
  <c r="A4"/>
  <c r="E3"/>
  <c r="C3"/>
  <c r="B3"/>
  <c r="A3"/>
  <c r="A1"/>
</calcChain>
</file>

<file path=xl/sharedStrings.xml><?xml version="1.0" encoding="utf-8"?>
<sst xmlns="http://schemas.openxmlformats.org/spreadsheetml/2006/main" count="31" uniqueCount="31">
  <si>
    <t>Estabelecimento</t>
  </si>
  <si>
    <t>Nome</t>
  </si>
  <si>
    <t>Cargo Básico-Descrição</t>
  </si>
  <si>
    <t>Classe Funcionário</t>
  </si>
  <si>
    <t>Tipo Funcionário</t>
  </si>
  <si>
    <t>ELISA REZENDE LINDOLFO</t>
  </si>
  <si>
    <t>ISABELA VILELA ARRUDA</t>
  </si>
  <si>
    <t>IURY ALVES FREIRE ABRANTES</t>
  </si>
  <si>
    <t>JOÃO PEDRO MARQUES SOARES</t>
  </si>
  <si>
    <t>MARCOS GAGLIARDI DE SOUZA</t>
  </si>
  <si>
    <t>MAURO EDUARDO CABRAL</t>
  </si>
  <si>
    <t>WELLITON MATEUS FERREIRA</t>
  </si>
  <si>
    <t>GABRIEL FREIRE FERREIRA</t>
  </si>
  <si>
    <t>GEOVANNA GONZAGA GERALDO</t>
  </si>
  <si>
    <t>SANCLER WERNER DA SILVA</t>
  </si>
  <si>
    <t>BARBARA VITORIA MARTINS PINTO</t>
  </si>
  <si>
    <t>BRENDA EDUARDA SILVA</t>
  </si>
  <si>
    <t>EVELYN MORAIS SILVÉRIO</t>
  </si>
  <si>
    <t>MATHEUS OLIVEIRA FUZINELLI SILVA</t>
  </si>
  <si>
    <t>RAFAELA SIMÕES CATELANI</t>
  </si>
  <si>
    <t>WALTER FERNANDES SIQUEIRA</t>
  </si>
  <si>
    <t>FJF</t>
  </si>
  <si>
    <t>FMCE</t>
  </si>
  <si>
    <t>FI</t>
  </si>
  <si>
    <t xml:space="preserve">                              Dados: Datasul</t>
  </si>
  <si>
    <t>QUANTIDADE</t>
  </si>
  <si>
    <t>LOTAÇÃO</t>
  </si>
  <si>
    <t>NOME</t>
  </si>
  <si>
    <t>ESTAGIÁRIOS IMBEL</t>
  </si>
  <si>
    <t>TOTAL</t>
  </si>
  <si>
    <t>Data: Novembro/2025</t>
  </si>
</sst>
</file>

<file path=xl/styles.xml><?xml version="1.0" encoding="utf-8"?>
<styleSheet xmlns="http://schemas.openxmlformats.org/spreadsheetml/2006/main">
  <fonts count="4">
    <font>
      <sz val="10"/>
      <name val="Arial"/>
      <family val="2"/>
    </font>
    <font>
      <b/>
      <sz val="10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1" fillId="2" borderId="2" xfId="0" applyNumberFormat="1" applyFont="1" applyFill="1" applyBorder="1"/>
    <xf numFmtId="0" fontId="1" fillId="2" borderId="2" xfId="0" applyFont="1" applyFill="1" applyBorder="1"/>
    <xf numFmtId="49" fontId="0" fillId="0" borderId="3" xfId="0" applyNumberFormat="1" applyBorder="1"/>
    <xf numFmtId="0" fontId="0" fillId="0" borderId="3" xfId="0" applyBorder="1"/>
    <xf numFmtId="49" fontId="0" fillId="0" borderId="2" xfId="0" applyNumberFormat="1" applyBorder="1"/>
    <xf numFmtId="0" fontId="0" fillId="0" borderId="2" xfId="0" applyBorder="1"/>
    <xf numFmtId="49" fontId="0" fillId="0" borderId="4" xfId="0" applyNumberForma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1" fillId="2" borderId="1" xfId="0" applyNumberFormat="1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54"/>
  <sheetViews>
    <sheetView zoomScaleNormal="100" zoomScalePageLayoutView="60" workbookViewId="0">
      <selection activeCell="H14" sqref="H14"/>
    </sheetView>
  </sheetViews>
  <sheetFormatPr defaultRowHeight="12.75"/>
  <cols>
    <col min="1" max="1" width="15.85546875" style="1" customWidth="1"/>
    <col min="2" max="2" width="47.7109375" style="1" customWidth="1"/>
    <col min="3" max="3" width="41.5703125" style="1" customWidth="1"/>
    <col min="4" max="4" width="18.28515625" customWidth="1"/>
    <col min="5" max="5" width="17" style="1" customWidth="1"/>
    <col min="6" max="1025" width="11.5703125"/>
  </cols>
  <sheetData>
    <row r="1" spans="1:5">
      <c r="A1" s="13" t="str">
        <f>"Funcionários"</f>
        <v>Funcionários</v>
      </c>
      <c r="B1" s="13"/>
      <c r="C1" s="13"/>
      <c r="D1" s="13"/>
      <c r="E1" s="13"/>
    </row>
    <row r="2" spans="1:5">
      <c r="A2" s="2" t="s">
        <v>0</v>
      </c>
      <c r="B2" s="2" t="s">
        <v>1</v>
      </c>
      <c r="C2" s="2" t="s">
        <v>2</v>
      </c>
      <c r="D2" s="3" t="s">
        <v>3</v>
      </c>
      <c r="E2" s="2" t="s">
        <v>4</v>
      </c>
    </row>
    <row r="3" spans="1:5">
      <c r="A3" s="4" t="str">
        <f t="shared" ref="A3:A66" si="0">"1"</f>
        <v>1</v>
      </c>
      <c r="B3" s="4" t="str">
        <f>"ADEILSON JOSE FIGUEIREDO BENEDITO"</f>
        <v>ADEILSON JOSE FIGUEIREDO BENEDITO</v>
      </c>
      <c r="C3" s="4" t="str">
        <f>"OFICIAL DE PRODUCAO INDUSTRIAL"</f>
        <v>OFICIAL DE PRODUCAO INDUSTRIAL</v>
      </c>
      <c r="D3" s="5">
        <v>100</v>
      </c>
      <c r="E3" s="4" t="str">
        <f>"Funcionário"</f>
        <v>Funcionário</v>
      </c>
    </row>
    <row r="4" spans="1:5">
      <c r="A4" s="4" t="str">
        <f t="shared" si="0"/>
        <v>1</v>
      </c>
      <c r="B4" s="4" t="str">
        <f>"ADELAIDE PALMIRA DA CONCEICAO P REIS ROQ"</f>
        <v>ADELAIDE PALMIRA DA CONCEICAO P REIS ROQ</v>
      </c>
      <c r="C4" s="4" t="str">
        <f>"ANALISTA ESPECIALIZADO"</f>
        <v>ANALISTA ESPECIALIZADO</v>
      </c>
      <c r="D4" s="5">
        <v>100</v>
      </c>
      <c r="E4" s="4" t="str">
        <f>"Aposentado"</f>
        <v>Aposentado</v>
      </c>
    </row>
    <row r="5" spans="1:5">
      <c r="A5" s="4" t="str">
        <f t="shared" si="0"/>
        <v>1</v>
      </c>
      <c r="B5" s="4" t="str">
        <f>"ADLER RICARDO DA SILVA PINTO"</f>
        <v>ADLER RICARDO DA SILVA PINTO</v>
      </c>
      <c r="C5" s="4" t="str">
        <f>"OF FERRAMENTARIA INDUSTRIAL"</f>
        <v>OF FERRAMENTARIA INDUSTRIAL</v>
      </c>
      <c r="D5" s="5">
        <v>100</v>
      </c>
      <c r="E5" s="4" t="str">
        <f t="shared" ref="E5:E11" si="1">"Funcionário"</f>
        <v>Funcionário</v>
      </c>
    </row>
    <row r="6" spans="1:5">
      <c r="A6" s="4" t="str">
        <f t="shared" si="0"/>
        <v>1</v>
      </c>
      <c r="B6" s="4" t="str">
        <f>"ADNA LUITE SOUZA DOS SANTOS"</f>
        <v>ADNA LUITE SOUZA DOS SANTOS</v>
      </c>
      <c r="C6" s="4" t="str">
        <f>"ENGENHEIRO"</f>
        <v>ENGENHEIRO</v>
      </c>
      <c r="D6" s="5">
        <v>100</v>
      </c>
      <c r="E6" s="4" t="str">
        <f t="shared" si="1"/>
        <v>Funcionário</v>
      </c>
    </row>
    <row r="7" spans="1:5">
      <c r="A7" s="4" t="str">
        <f t="shared" si="0"/>
        <v>1</v>
      </c>
      <c r="B7" s="4" t="str">
        <f>"ADRIANA DE SOUZA VALERIO"</f>
        <v>ADRIANA DE SOUZA VALERIO</v>
      </c>
      <c r="C7" s="4" t="str">
        <f>"AUX TECNICO ADMINISTRATIVO"</f>
        <v>AUX TECNICO ADMINISTRATIVO</v>
      </c>
      <c r="D7" s="5">
        <v>100</v>
      </c>
      <c r="E7" s="4" t="str">
        <f t="shared" si="1"/>
        <v>Funcionário</v>
      </c>
    </row>
    <row r="8" spans="1:5">
      <c r="A8" s="4" t="str">
        <f t="shared" si="0"/>
        <v>1</v>
      </c>
      <c r="B8" s="4" t="str">
        <f>"ADRIANO DA SILVA"</f>
        <v>ADRIANO DA SILVA</v>
      </c>
      <c r="C8" s="4" t="str">
        <f>"AUXILIAR TECNICO INDUSTRIAL"</f>
        <v>AUXILIAR TECNICO INDUSTRIAL</v>
      </c>
      <c r="D8" s="5">
        <v>100</v>
      </c>
      <c r="E8" s="4" t="str">
        <f t="shared" si="1"/>
        <v>Funcionário</v>
      </c>
    </row>
    <row r="9" spans="1:5">
      <c r="A9" s="4" t="str">
        <f t="shared" si="0"/>
        <v>1</v>
      </c>
      <c r="B9" s="4" t="str">
        <f>"ADRIANO WELIGTON RIBEIRO"</f>
        <v>ADRIANO WELIGTON RIBEIRO</v>
      </c>
      <c r="C9" s="4" t="str">
        <f>"OFICIAL DE PRODUCAO INDUSTRIAL"</f>
        <v>OFICIAL DE PRODUCAO INDUSTRIAL</v>
      </c>
      <c r="D9" s="5">
        <v>100</v>
      </c>
      <c r="E9" s="4" t="str">
        <f t="shared" si="1"/>
        <v>Funcionário</v>
      </c>
    </row>
    <row r="10" spans="1:5">
      <c r="A10" s="4" t="str">
        <f t="shared" si="0"/>
        <v>1</v>
      </c>
      <c r="B10" s="4" t="str">
        <f>"AFONSO CAVALCANTE NUNES JUNIOR"</f>
        <v>AFONSO CAVALCANTE NUNES JUNIOR</v>
      </c>
      <c r="C10" s="4" t="str">
        <f>"AGENTE DE APOIO OPERACIONAL"</f>
        <v>AGENTE DE APOIO OPERACIONAL</v>
      </c>
      <c r="D10" s="5">
        <v>100</v>
      </c>
      <c r="E10" s="4" t="str">
        <f t="shared" si="1"/>
        <v>Funcionário</v>
      </c>
    </row>
    <row r="11" spans="1:5">
      <c r="A11" s="4" t="str">
        <f t="shared" si="0"/>
        <v>1</v>
      </c>
      <c r="B11" s="4" t="str">
        <f>"ALAN SEOANE PEINADOR"</f>
        <v>ALAN SEOANE PEINADOR</v>
      </c>
      <c r="C11" s="4" t="str">
        <f>"OFICIAL DE PRODUCAO INDUSTRIAL"</f>
        <v>OFICIAL DE PRODUCAO INDUSTRIAL</v>
      </c>
      <c r="D11" s="5">
        <v>100</v>
      </c>
      <c r="E11" s="4" t="str">
        <f t="shared" si="1"/>
        <v>Funcionário</v>
      </c>
    </row>
    <row r="12" spans="1:5">
      <c r="A12" s="4" t="str">
        <f t="shared" si="0"/>
        <v>1</v>
      </c>
      <c r="B12" s="4" t="str">
        <f>"ALCEU DANIEL DE MORAIS"</f>
        <v>ALCEU DANIEL DE MORAIS</v>
      </c>
      <c r="C12" s="4" t="str">
        <f>"BOMBEIRO CIVIL"</f>
        <v>BOMBEIRO CIVIL</v>
      </c>
      <c r="D12" s="5">
        <v>100</v>
      </c>
      <c r="E12" s="4" t="str">
        <f>"Aposentado"</f>
        <v>Aposentado</v>
      </c>
    </row>
    <row r="13" spans="1:5">
      <c r="A13" s="4" t="str">
        <f t="shared" si="0"/>
        <v>1</v>
      </c>
      <c r="B13" s="4" t="str">
        <f>"ALDO TADEU RIBEIRO GONCALVES"</f>
        <v>ALDO TADEU RIBEIRO GONCALVES</v>
      </c>
      <c r="C13" s="4" t="str">
        <f>"ENGENHEIRO"</f>
        <v>ENGENHEIRO</v>
      </c>
      <c r="D13" s="5">
        <v>100</v>
      </c>
      <c r="E13" s="4" t="str">
        <f t="shared" ref="E13:E25" si="2">"Funcionário"</f>
        <v>Funcionário</v>
      </c>
    </row>
    <row r="14" spans="1:5">
      <c r="A14" s="4" t="str">
        <f t="shared" si="0"/>
        <v>1</v>
      </c>
      <c r="B14" s="4" t="str">
        <f>"ALESSANDRO CAMPOS DOS SANTOS"</f>
        <v>ALESSANDRO CAMPOS DOS SANTOS</v>
      </c>
      <c r="C14" s="4" t="str">
        <f>"AUX TECNICO ADMINISTRATIVO"</f>
        <v>AUX TECNICO ADMINISTRATIVO</v>
      </c>
      <c r="D14" s="5">
        <v>100</v>
      </c>
      <c r="E14" s="4" t="str">
        <f t="shared" si="2"/>
        <v>Funcionário</v>
      </c>
    </row>
    <row r="15" spans="1:5">
      <c r="A15" s="4" t="str">
        <f t="shared" si="0"/>
        <v>1</v>
      </c>
      <c r="B15" s="4" t="str">
        <f>"ALEX SANDRO ALVES DA CRUZ"</f>
        <v>ALEX SANDRO ALVES DA CRUZ</v>
      </c>
      <c r="C15" s="4" t="str">
        <f>"OFICIAL DE PRODUCAO INDUSTRIAL"</f>
        <v>OFICIAL DE PRODUCAO INDUSTRIAL</v>
      </c>
      <c r="D15" s="5">
        <v>100</v>
      </c>
      <c r="E15" s="4" t="str">
        <f t="shared" si="2"/>
        <v>Funcionário</v>
      </c>
    </row>
    <row r="16" spans="1:5">
      <c r="A16" s="4" t="str">
        <f t="shared" si="0"/>
        <v>1</v>
      </c>
      <c r="B16" s="4" t="str">
        <f>"ALEXANDRA MICHAELLE DA SILVA BAPTISTA"</f>
        <v>ALEXANDRA MICHAELLE DA SILVA BAPTISTA</v>
      </c>
      <c r="C16" s="4" t="str">
        <f>"OF FERRAMENTARIA INDUSTRIAL"</f>
        <v>OF FERRAMENTARIA INDUSTRIAL</v>
      </c>
      <c r="D16" s="5">
        <v>100</v>
      </c>
      <c r="E16" s="4" t="str">
        <f t="shared" si="2"/>
        <v>Funcionário</v>
      </c>
    </row>
    <row r="17" spans="1:5">
      <c r="A17" s="4" t="str">
        <f t="shared" si="0"/>
        <v>1</v>
      </c>
      <c r="B17" s="4" t="str">
        <f>"ALEXANDRE DA SILVA PINTO"</f>
        <v>ALEXANDRE DA SILVA PINTO</v>
      </c>
      <c r="C17" s="4" t="str">
        <f>"TEC INDUSTRIAL ESPECIALIZADO"</f>
        <v>TEC INDUSTRIAL ESPECIALIZADO</v>
      </c>
      <c r="D17" s="5">
        <v>100</v>
      </c>
      <c r="E17" s="4" t="str">
        <f t="shared" si="2"/>
        <v>Funcionário</v>
      </c>
    </row>
    <row r="18" spans="1:5">
      <c r="A18" s="4" t="str">
        <f t="shared" si="0"/>
        <v>1</v>
      </c>
      <c r="B18" s="4" t="str">
        <f>"ALEXANDRE DA SILVA ROSA"</f>
        <v>ALEXANDRE DA SILVA ROSA</v>
      </c>
      <c r="C18" s="4" t="str">
        <f>"OFICIAL DE PRODUCAO INDUSTRIAL"</f>
        <v>OFICIAL DE PRODUCAO INDUSTRIAL</v>
      </c>
      <c r="D18" s="5">
        <v>100</v>
      </c>
      <c r="E18" s="4" t="str">
        <f t="shared" si="2"/>
        <v>Funcionário</v>
      </c>
    </row>
    <row r="19" spans="1:5">
      <c r="A19" s="4" t="str">
        <f t="shared" si="0"/>
        <v>1</v>
      </c>
      <c r="B19" s="4" t="str">
        <f>"ALEXANDRE NUNES DE MOURA"</f>
        <v>ALEXANDRE NUNES DE MOURA</v>
      </c>
      <c r="C19" s="4" t="str">
        <f>"OFICIAL DE PRODUCAO INDUSTRIAL"</f>
        <v>OFICIAL DE PRODUCAO INDUSTRIAL</v>
      </c>
      <c r="D19" s="5">
        <v>100</v>
      </c>
      <c r="E19" s="4" t="str">
        <f t="shared" si="2"/>
        <v>Funcionário</v>
      </c>
    </row>
    <row r="20" spans="1:5">
      <c r="A20" s="4" t="str">
        <f t="shared" si="0"/>
        <v>1</v>
      </c>
      <c r="B20" s="4" t="str">
        <f>"ALINE DE CARVALHO BENEDITO"</f>
        <v>ALINE DE CARVALHO BENEDITO</v>
      </c>
      <c r="C20" s="4" t="str">
        <f>"AUX TECNICO ADMINISTRATIVO"</f>
        <v>AUX TECNICO ADMINISTRATIVO</v>
      </c>
      <c r="D20" s="5">
        <v>100</v>
      </c>
      <c r="E20" s="4" t="str">
        <f t="shared" si="2"/>
        <v>Funcionário</v>
      </c>
    </row>
    <row r="21" spans="1:5">
      <c r="A21" s="4" t="str">
        <f t="shared" si="0"/>
        <v>1</v>
      </c>
      <c r="B21" s="4" t="str">
        <f>"ALVARO HENRIQUE FELIZARDO DOS SANTOS"</f>
        <v>ALVARO HENRIQUE FELIZARDO DOS SANTOS</v>
      </c>
      <c r="C21" s="4" t="str">
        <f>"ANALISTA ESPECIALIZADO"</f>
        <v>ANALISTA ESPECIALIZADO</v>
      </c>
      <c r="D21" s="5">
        <v>100</v>
      </c>
      <c r="E21" s="4" t="str">
        <f t="shared" si="2"/>
        <v>Funcionário</v>
      </c>
    </row>
    <row r="22" spans="1:5">
      <c r="A22" s="4" t="str">
        <f t="shared" si="0"/>
        <v>1</v>
      </c>
      <c r="B22" s="4" t="str">
        <f>"ALVARO RICARDO CLAUDINO SANTOS SILVA"</f>
        <v>ALVARO RICARDO CLAUDINO SANTOS SILVA</v>
      </c>
      <c r="C22" s="4" t="str">
        <f>"AUXILIAR TECNICO INDUSTRIAL"</f>
        <v>AUXILIAR TECNICO INDUSTRIAL</v>
      </c>
      <c r="D22" s="5">
        <v>100</v>
      </c>
      <c r="E22" s="4" t="str">
        <f t="shared" si="2"/>
        <v>Funcionário</v>
      </c>
    </row>
    <row r="23" spans="1:5">
      <c r="A23" s="4" t="str">
        <f t="shared" si="0"/>
        <v>1</v>
      </c>
      <c r="B23" s="4" t="str">
        <f>"AMANDA CARLA DA CRUZ"</f>
        <v>AMANDA CARLA DA CRUZ</v>
      </c>
      <c r="C23" s="4" t="str">
        <f>"OFICIAL DE PRODUCAO INDUSTRIAL"</f>
        <v>OFICIAL DE PRODUCAO INDUSTRIAL</v>
      </c>
      <c r="D23" s="5">
        <v>100</v>
      </c>
      <c r="E23" s="4" t="str">
        <f t="shared" si="2"/>
        <v>Funcionário</v>
      </c>
    </row>
    <row r="24" spans="1:5">
      <c r="A24" s="4" t="str">
        <f t="shared" si="0"/>
        <v>1</v>
      </c>
      <c r="B24" s="4" t="str">
        <f>"AMANDA DOS SANTOS DE OLIVEIRA SOUSA"</f>
        <v>AMANDA DOS SANTOS DE OLIVEIRA SOUSA</v>
      </c>
      <c r="C24" s="4" t="str">
        <f>"TECNICO ADM ESPECIALIZADO"</f>
        <v>TECNICO ADM ESPECIALIZADO</v>
      </c>
      <c r="D24" s="5">
        <v>100</v>
      </c>
      <c r="E24" s="4" t="str">
        <f t="shared" si="2"/>
        <v>Funcionário</v>
      </c>
    </row>
    <row r="25" spans="1:5">
      <c r="A25" s="4" t="str">
        <f t="shared" si="0"/>
        <v>1</v>
      </c>
      <c r="B25" s="4" t="str">
        <f>"AMANDA VIEIRA DA SILVA"</f>
        <v>AMANDA VIEIRA DA SILVA</v>
      </c>
      <c r="C25" s="4" t="str">
        <f>"TECNICO SEGURANÇA DO TRABALHO"</f>
        <v>TECNICO SEGURANÇA DO TRABALHO</v>
      </c>
      <c r="D25" s="5">
        <v>100</v>
      </c>
      <c r="E25" s="4" t="str">
        <f t="shared" si="2"/>
        <v>Funcionário</v>
      </c>
    </row>
    <row r="26" spans="1:5">
      <c r="A26" s="4" t="str">
        <f t="shared" si="0"/>
        <v>1</v>
      </c>
      <c r="B26" s="4" t="str">
        <f>"AMARILDO MARTIMIANO RIBEIRO"</f>
        <v>AMARILDO MARTIMIANO RIBEIRO</v>
      </c>
      <c r="C26" s="4" t="str">
        <f>"OFICIAL DE PRODUCAO INDUSTRIAL"</f>
        <v>OFICIAL DE PRODUCAO INDUSTRIAL</v>
      </c>
      <c r="D26" s="5">
        <v>100</v>
      </c>
      <c r="E26" s="4" t="str">
        <f>"Aposentado"</f>
        <v>Aposentado</v>
      </c>
    </row>
    <row r="27" spans="1:5">
      <c r="A27" s="4" t="str">
        <f t="shared" si="0"/>
        <v>1</v>
      </c>
      <c r="B27" s="4" t="str">
        <f>"ANA CAROLINA DE PAULA ADOLFO MENGUI"</f>
        <v>ANA CAROLINA DE PAULA ADOLFO MENGUI</v>
      </c>
      <c r="C27" s="4" t="str">
        <f>"TECNICO ADM ESPECIALIZADO"</f>
        <v>TECNICO ADM ESPECIALIZADO</v>
      </c>
      <c r="D27" s="5">
        <v>100</v>
      </c>
      <c r="E27" s="4" t="str">
        <f t="shared" ref="E27:E38" si="3">"Funcionário"</f>
        <v>Funcionário</v>
      </c>
    </row>
    <row r="28" spans="1:5">
      <c r="A28" s="4" t="str">
        <f t="shared" si="0"/>
        <v>1</v>
      </c>
      <c r="B28" s="4" t="str">
        <f>"ANA CAROLINA QUEIROZ NOVAES DA S LIMA"</f>
        <v>ANA CAROLINA QUEIROZ NOVAES DA S LIMA</v>
      </c>
      <c r="C28" s="4" t="str">
        <f>"ANALISTA ESPECIALIZADO"</f>
        <v>ANALISTA ESPECIALIZADO</v>
      </c>
      <c r="D28" s="5">
        <v>100</v>
      </c>
      <c r="E28" s="4" t="str">
        <f t="shared" si="3"/>
        <v>Funcionário</v>
      </c>
    </row>
    <row r="29" spans="1:5">
      <c r="A29" s="4" t="str">
        <f t="shared" si="0"/>
        <v>1</v>
      </c>
      <c r="B29" s="4" t="str">
        <f>"ANA PAULA CHAVES DA SILVA CARVALHO QUIRI"</f>
        <v>ANA PAULA CHAVES DA SILVA CARVALHO QUIRI</v>
      </c>
      <c r="C29" s="4" t="str">
        <f>"TECNICO ADM ESPECIALIZADO"</f>
        <v>TECNICO ADM ESPECIALIZADO</v>
      </c>
      <c r="D29" s="5">
        <v>100</v>
      </c>
      <c r="E29" s="4" t="str">
        <f t="shared" si="3"/>
        <v>Funcionário</v>
      </c>
    </row>
    <row r="30" spans="1:5">
      <c r="A30" s="4" t="str">
        <f t="shared" si="0"/>
        <v>1</v>
      </c>
      <c r="B30" s="4" t="str">
        <f>"ANDERSON OLIVEIRA SILVA"</f>
        <v>ANDERSON OLIVEIRA SILVA</v>
      </c>
      <c r="C30" s="4" t="str">
        <f>"OFICIAL DE PRODUCAO INDUSTRIAL"</f>
        <v>OFICIAL DE PRODUCAO INDUSTRIAL</v>
      </c>
      <c r="D30" s="5">
        <v>100</v>
      </c>
      <c r="E30" s="4" t="str">
        <f t="shared" si="3"/>
        <v>Funcionário</v>
      </c>
    </row>
    <row r="31" spans="1:5">
      <c r="A31" s="4" t="str">
        <f t="shared" si="0"/>
        <v>1</v>
      </c>
      <c r="B31" s="4" t="str">
        <f>"ANDRE LUIS DE PAULA CUSTODIO"</f>
        <v>ANDRE LUIS DE PAULA CUSTODIO</v>
      </c>
      <c r="C31" s="4" t="str">
        <f>"OFICIAL DE PRODUCAO INDUSTRIAL"</f>
        <v>OFICIAL DE PRODUCAO INDUSTRIAL</v>
      </c>
      <c r="D31" s="5">
        <v>100</v>
      </c>
      <c r="E31" s="4" t="str">
        <f t="shared" si="3"/>
        <v>Funcionário</v>
      </c>
    </row>
    <row r="32" spans="1:5">
      <c r="A32" s="4" t="str">
        <f t="shared" si="0"/>
        <v>1</v>
      </c>
      <c r="B32" s="4" t="str">
        <f>"ANDRE LUIS JOANNI MAFRA"</f>
        <v>ANDRE LUIS JOANNI MAFRA</v>
      </c>
      <c r="C32" s="4" t="str">
        <f>"ENGENHEIRO"</f>
        <v>ENGENHEIRO</v>
      </c>
      <c r="D32" s="5">
        <v>100</v>
      </c>
      <c r="E32" s="4" t="str">
        <f t="shared" si="3"/>
        <v>Funcionário</v>
      </c>
    </row>
    <row r="33" spans="1:5">
      <c r="A33" s="4" t="str">
        <f t="shared" si="0"/>
        <v>1</v>
      </c>
      <c r="B33" s="4" t="str">
        <f>"ANDRE LUIS MACIEL DE OLIVEIRA"</f>
        <v>ANDRE LUIS MACIEL DE OLIVEIRA</v>
      </c>
      <c r="C33" s="4" t="str">
        <f>"CHEFE DE UNIDADE II"</f>
        <v>CHEFE DE UNIDADE II</v>
      </c>
      <c r="D33" s="5">
        <v>101</v>
      </c>
      <c r="E33" s="4" t="str">
        <f t="shared" si="3"/>
        <v>Funcionário</v>
      </c>
    </row>
    <row r="34" spans="1:5">
      <c r="A34" s="4" t="str">
        <f t="shared" si="0"/>
        <v>1</v>
      </c>
      <c r="B34" s="4" t="str">
        <f>"ANDRE LUIS RIBEIRO DA LUZ CAMARGO"</f>
        <v>ANDRE LUIS RIBEIRO DA LUZ CAMARGO</v>
      </c>
      <c r="C34" s="4" t="str">
        <f>"ENGENHEIRO"</f>
        <v>ENGENHEIRO</v>
      </c>
      <c r="D34" s="5">
        <v>100</v>
      </c>
      <c r="E34" s="4" t="str">
        <f t="shared" si="3"/>
        <v>Funcionário</v>
      </c>
    </row>
    <row r="35" spans="1:5">
      <c r="A35" s="4" t="str">
        <f t="shared" si="0"/>
        <v>1</v>
      </c>
      <c r="B35" s="4" t="str">
        <f>"ANDRE LUIZ DA SILVA ALMEIDA"</f>
        <v>ANDRE LUIZ DA SILVA ALMEIDA</v>
      </c>
      <c r="C35" s="4" t="str">
        <f>"AUXILIAR TECNICO INDUSTRIAL"</f>
        <v>AUXILIAR TECNICO INDUSTRIAL</v>
      </c>
      <c r="D35" s="5">
        <v>100</v>
      </c>
      <c r="E35" s="4" t="str">
        <f t="shared" si="3"/>
        <v>Funcionário</v>
      </c>
    </row>
    <row r="36" spans="1:5">
      <c r="A36" s="4" t="str">
        <f t="shared" si="0"/>
        <v>1</v>
      </c>
      <c r="B36" s="4" t="str">
        <f>"ANDREZA APARECIDA OLIVEIRA GERMANO"</f>
        <v>ANDREZA APARECIDA OLIVEIRA GERMANO</v>
      </c>
      <c r="C36" s="4" t="str">
        <f>"OFICIAL DE PRODUCAO INDUSTRIAL"</f>
        <v>OFICIAL DE PRODUCAO INDUSTRIAL</v>
      </c>
      <c r="D36" s="5">
        <v>100</v>
      </c>
      <c r="E36" s="4" t="str">
        <f t="shared" si="3"/>
        <v>Funcionário</v>
      </c>
    </row>
    <row r="37" spans="1:5">
      <c r="A37" s="4" t="str">
        <f t="shared" si="0"/>
        <v>1</v>
      </c>
      <c r="B37" s="4" t="str">
        <f>"ANGELO BRAIT JUNIOR"</f>
        <v>ANGELO BRAIT JUNIOR</v>
      </c>
      <c r="C37" s="4" t="str">
        <f>"ASSESSOR CHEFE I"</f>
        <v>ASSESSOR CHEFE I</v>
      </c>
      <c r="D37" s="5">
        <v>101</v>
      </c>
      <c r="E37" s="4" t="str">
        <f t="shared" si="3"/>
        <v>Funcionário</v>
      </c>
    </row>
    <row r="38" spans="1:5">
      <c r="A38" s="4" t="str">
        <f t="shared" si="0"/>
        <v>1</v>
      </c>
      <c r="B38" s="4" t="str">
        <f>"ANGELO PAULO DOMINGUES"</f>
        <v>ANGELO PAULO DOMINGUES</v>
      </c>
      <c r="C38" s="4" t="str">
        <f>"AUX TECNICO ADMINISTRATIVO"</f>
        <v>AUX TECNICO ADMINISTRATIVO</v>
      </c>
      <c r="D38" s="5">
        <v>100</v>
      </c>
      <c r="E38" s="4" t="str">
        <f t="shared" si="3"/>
        <v>Funcionário</v>
      </c>
    </row>
    <row r="39" spans="1:5">
      <c r="A39" s="4" t="str">
        <f t="shared" si="0"/>
        <v>1</v>
      </c>
      <c r="B39" s="4" t="str">
        <f>"ANTONIO CARLOS DA SILVA"</f>
        <v>ANTONIO CARLOS DA SILVA</v>
      </c>
      <c r="C39" s="4" t="str">
        <f>"AUXILIAR TECNICO INDUSTRIAL"</f>
        <v>AUXILIAR TECNICO INDUSTRIAL</v>
      </c>
      <c r="D39" s="5">
        <v>100</v>
      </c>
      <c r="E39" s="4" t="str">
        <f>"Aposentado"</f>
        <v>Aposentado</v>
      </c>
    </row>
    <row r="40" spans="1:5">
      <c r="A40" s="4" t="str">
        <f t="shared" si="0"/>
        <v>1</v>
      </c>
      <c r="B40" s="4" t="str">
        <f>"ANTONIO CARLOS DA SILVA"</f>
        <v>ANTONIO CARLOS DA SILVA</v>
      </c>
      <c r="C40" s="4" t="str">
        <f>"AUX TECNICO ADMINISTRATIVO"</f>
        <v>AUX TECNICO ADMINISTRATIVO</v>
      </c>
      <c r="D40" s="5">
        <v>100</v>
      </c>
      <c r="E40" s="4" t="str">
        <f>"Funcionário"</f>
        <v>Funcionário</v>
      </c>
    </row>
    <row r="41" spans="1:5">
      <c r="A41" s="4" t="str">
        <f t="shared" si="0"/>
        <v>1</v>
      </c>
      <c r="B41" s="4" t="str">
        <f>"ANTONIO CELSO VIEIRA PAULA"</f>
        <v>ANTONIO CELSO VIEIRA PAULA</v>
      </c>
      <c r="C41" s="4" t="str">
        <f>"TECNICO ADM ESPECIALIZADO"</f>
        <v>TECNICO ADM ESPECIALIZADO</v>
      </c>
      <c r="D41" s="5">
        <v>100</v>
      </c>
      <c r="E41" s="4" t="str">
        <f>"Aposentado"</f>
        <v>Aposentado</v>
      </c>
    </row>
    <row r="42" spans="1:5">
      <c r="A42" s="4" t="str">
        <f t="shared" si="0"/>
        <v>1</v>
      </c>
      <c r="B42" s="4" t="str">
        <f>"ANTONIO FRANCISCO NOGUEIRA DO NASCIMENTO"</f>
        <v>ANTONIO FRANCISCO NOGUEIRA DO NASCIMENTO</v>
      </c>
      <c r="C42" s="4" t="str">
        <f>"OPER PRODUCAO III"</f>
        <v>OPER PRODUCAO III</v>
      </c>
      <c r="D42" s="5">
        <v>100</v>
      </c>
      <c r="E42" s="4" t="str">
        <f>"Funcionário"</f>
        <v>Funcionário</v>
      </c>
    </row>
    <row r="43" spans="1:5">
      <c r="A43" s="4" t="str">
        <f t="shared" si="0"/>
        <v>1</v>
      </c>
      <c r="B43" s="4" t="str">
        <f>"ANTONIO LUIZ TOBIAS"</f>
        <v>ANTONIO LUIZ TOBIAS</v>
      </c>
      <c r="C43" s="4" t="str">
        <f>"OPER PRODUCAO III"</f>
        <v>OPER PRODUCAO III</v>
      </c>
      <c r="D43" s="5">
        <v>100</v>
      </c>
      <c r="E43" s="4" t="str">
        <f>"Funcionário"</f>
        <v>Funcionário</v>
      </c>
    </row>
    <row r="44" spans="1:5">
      <c r="A44" s="4" t="str">
        <f t="shared" si="0"/>
        <v>1</v>
      </c>
      <c r="B44" s="4" t="str">
        <f>"ANTONIO MARIA CAMPOS RODRIGUES"</f>
        <v>ANTONIO MARIA CAMPOS RODRIGUES</v>
      </c>
      <c r="C44" s="4" t="str">
        <f>"OFICIAL DE PRODUCAO INDUSTRIAL"</f>
        <v>OFICIAL DE PRODUCAO INDUSTRIAL</v>
      </c>
      <c r="D44" s="5">
        <v>100</v>
      </c>
      <c r="E44" s="4" t="str">
        <f>"Funcionário"</f>
        <v>Funcionário</v>
      </c>
    </row>
    <row r="45" spans="1:5">
      <c r="A45" s="4" t="str">
        <f t="shared" si="0"/>
        <v>1</v>
      </c>
      <c r="B45" s="4" t="str">
        <f>"ANTONIO RICARDO XAVIER NETO"</f>
        <v>ANTONIO RICARDO XAVIER NETO</v>
      </c>
      <c r="C45" s="4" t="str">
        <f>"APRENDIZ- PRODUÇÃO"</f>
        <v>APRENDIZ- PRODUÇÃO</v>
      </c>
      <c r="D45" s="5">
        <v>103</v>
      </c>
      <c r="E45" s="4" t="str">
        <f>"Aprendiz"</f>
        <v>Aprendiz</v>
      </c>
    </row>
    <row r="46" spans="1:5">
      <c r="A46" s="4" t="str">
        <f t="shared" si="0"/>
        <v>1</v>
      </c>
      <c r="B46" s="4" t="str">
        <f>"ANTONIO RODRIGUES"</f>
        <v>ANTONIO RODRIGUES</v>
      </c>
      <c r="C46" s="4" t="str">
        <f>"MECANICO DE AUTOS II"</f>
        <v>MECANICO DE AUTOS II</v>
      </c>
      <c r="D46" s="5">
        <v>100</v>
      </c>
      <c r="E46" s="4" t="str">
        <f>"Funcionário"</f>
        <v>Funcionário</v>
      </c>
    </row>
    <row r="47" spans="1:5">
      <c r="A47" s="4" t="str">
        <f t="shared" si="0"/>
        <v>1</v>
      </c>
      <c r="B47" s="4" t="str">
        <f>"ARIANI MOREIRA DA COSTA VALENTIM"</f>
        <v>ARIANI MOREIRA DA COSTA VALENTIM</v>
      </c>
      <c r="C47" s="4" t="str">
        <f>"TECNICO ADM ESPECIALIZADO"</f>
        <v>TECNICO ADM ESPECIALIZADO</v>
      </c>
      <c r="D47" s="5">
        <v>100</v>
      </c>
      <c r="E47" s="4" t="str">
        <f>"Aposentado"</f>
        <v>Aposentado</v>
      </c>
    </row>
    <row r="48" spans="1:5">
      <c r="A48" s="4" t="str">
        <f t="shared" si="0"/>
        <v>1</v>
      </c>
      <c r="B48" s="4" t="str">
        <f>"AVANISE REGINA DE PAULA OLIVEIRA"</f>
        <v>AVANISE REGINA DE PAULA OLIVEIRA</v>
      </c>
      <c r="C48" s="4" t="str">
        <f>"ANALISTA ESPECIALIZADO"</f>
        <v>ANALISTA ESPECIALIZADO</v>
      </c>
      <c r="D48" s="5">
        <v>100</v>
      </c>
      <c r="E48" s="4" t="str">
        <f>"Funcionário"</f>
        <v>Funcionário</v>
      </c>
    </row>
    <row r="49" spans="1:5">
      <c r="A49" s="4" t="str">
        <f t="shared" si="0"/>
        <v>1</v>
      </c>
      <c r="B49" s="4" t="str">
        <f>"AYSLAN DE PAULA AUGUSTO"</f>
        <v>AYSLAN DE PAULA AUGUSTO</v>
      </c>
      <c r="C49" s="4" t="str">
        <f>"TEC INDUSTRIAL ESPECIALIZADO"</f>
        <v>TEC INDUSTRIAL ESPECIALIZADO</v>
      </c>
      <c r="D49" s="5">
        <v>100</v>
      </c>
      <c r="E49" s="4" t="str">
        <f>"Funcionário"</f>
        <v>Funcionário</v>
      </c>
    </row>
    <row r="50" spans="1:5">
      <c r="A50" s="4" t="str">
        <f t="shared" si="0"/>
        <v>1</v>
      </c>
      <c r="B50" s="4" t="str">
        <f>"BENEDITO ALVES DE SOUZA JUNIOR"</f>
        <v>BENEDITO ALVES DE SOUZA JUNIOR</v>
      </c>
      <c r="C50" s="4" t="str">
        <f>"OFICIAL DE PRODUCAO INDUSTRIAL"</f>
        <v>OFICIAL DE PRODUCAO INDUSTRIAL</v>
      </c>
      <c r="D50" s="5">
        <v>100</v>
      </c>
      <c r="E50" s="4" t="str">
        <f>"Funcionário"</f>
        <v>Funcionário</v>
      </c>
    </row>
    <row r="51" spans="1:5">
      <c r="A51" s="4" t="str">
        <f t="shared" si="0"/>
        <v>1</v>
      </c>
      <c r="B51" s="4" t="str">
        <f>"BENEDITO AUGUSTO DE ALMEIDA NOGUEIRA"</f>
        <v>BENEDITO AUGUSTO DE ALMEIDA NOGUEIRA</v>
      </c>
      <c r="C51" s="4" t="str">
        <f>"AUX TECNICO ADMINISTRATIVO"</f>
        <v>AUX TECNICO ADMINISTRATIVO</v>
      </c>
      <c r="D51" s="5">
        <v>100</v>
      </c>
      <c r="E51" s="4" t="str">
        <f>"Funcionário"</f>
        <v>Funcionário</v>
      </c>
    </row>
    <row r="52" spans="1:5">
      <c r="A52" s="4" t="str">
        <f t="shared" si="0"/>
        <v>1</v>
      </c>
      <c r="B52" s="4" t="str">
        <f>"BENEDITO PAULO DA SILVA"</f>
        <v>BENEDITO PAULO DA SILVA</v>
      </c>
      <c r="C52" s="4" t="str">
        <f>"AGENTE DE APOIO OPERACIONAL"</f>
        <v>AGENTE DE APOIO OPERACIONAL</v>
      </c>
      <c r="D52" s="5">
        <v>100</v>
      </c>
      <c r="E52" s="4" t="str">
        <f>"Aposentado"</f>
        <v>Aposentado</v>
      </c>
    </row>
    <row r="53" spans="1:5">
      <c r="A53" s="4" t="str">
        <f t="shared" si="0"/>
        <v>1</v>
      </c>
      <c r="B53" s="4" t="str">
        <f>"BENEDITO PINTO RIBEIRO"</f>
        <v>BENEDITO PINTO RIBEIRO</v>
      </c>
      <c r="C53" s="4" t="str">
        <f>"AUX TECNICO ADMINISTRATIVO"</f>
        <v>AUX TECNICO ADMINISTRATIVO</v>
      </c>
      <c r="D53" s="5">
        <v>100</v>
      </c>
      <c r="E53" s="4" t="str">
        <f>"Aposentado"</f>
        <v>Aposentado</v>
      </c>
    </row>
    <row r="54" spans="1:5">
      <c r="A54" s="4" t="str">
        <f t="shared" si="0"/>
        <v>1</v>
      </c>
      <c r="B54" s="4" t="str">
        <f>"BENEDITO SELVO DE CARVALHO"</f>
        <v>BENEDITO SELVO DE CARVALHO</v>
      </c>
      <c r="C54" s="4" t="str">
        <f>"TECNICO ADM ESPECIALIZADO"</f>
        <v>TECNICO ADM ESPECIALIZADO</v>
      </c>
      <c r="D54" s="5">
        <v>100</v>
      </c>
      <c r="E54" s="4" t="str">
        <f>"Aposentado"</f>
        <v>Aposentado</v>
      </c>
    </row>
    <row r="55" spans="1:5">
      <c r="A55" s="4" t="str">
        <f t="shared" si="0"/>
        <v>1</v>
      </c>
      <c r="B55" s="4" t="str">
        <f>"BENEDITO SOUZA DE OLIVEIRA"</f>
        <v>BENEDITO SOUZA DE OLIVEIRA</v>
      </c>
      <c r="C55" s="4" t="str">
        <f>"OFICIAL DE PRODUCAO INDUSTRIAL"</f>
        <v>OFICIAL DE PRODUCAO INDUSTRIAL</v>
      </c>
      <c r="D55" s="5">
        <v>100</v>
      </c>
      <c r="E55" s="4" t="str">
        <f>"Aposentado"</f>
        <v>Aposentado</v>
      </c>
    </row>
    <row r="56" spans="1:5">
      <c r="A56" s="4" t="str">
        <f t="shared" si="0"/>
        <v>1</v>
      </c>
      <c r="B56" s="4" t="str">
        <f>"BIANCA DE LOURDES MOREIRA CARVALHO"</f>
        <v>BIANCA DE LOURDES MOREIRA CARVALHO</v>
      </c>
      <c r="C56" s="4" t="str">
        <f>"ANALISTA ESPECIALIZADO"</f>
        <v>ANALISTA ESPECIALIZADO</v>
      </c>
      <c r="D56" s="5">
        <v>100</v>
      </c>
      <c r="E56" s="4" t="str">
        <f t="shared" ref="E56:E62" si="4">"Funcionário"</f>
        <v>Funcionário</v>
      </c>
    </row>
    <row r="57" spans="1:5">
      <c r="A57" s="4" t="str">
        <f t="shared" si="0"/>
        <v>1</v>
      </c>
      <c r="B57" s="4" t="str">
        <f>"BRUNA APARECIDA PERES"</f>
        <v>BRUNA APARECIDA PERES</v>
      </c>
      <c r="C57" s="4" t="str">
        <f>"TEC INDUSTRIAL ESPECIALIZADO"</f>
        <v>TEC INDUSTRIAL ESPECIALIZADO</v>
      </c>
      <c r="D57" s="5">
        <v>100</v>
      </c>
      <c r="E57" s="4" t="str">
        <f t="shared" si="4"/>
        <v>Funcionário</v>
      </c>
    </row>
    <row r="58" spans="1:5">
      <c r="A58" s="4" t="str">
        <f t="shared" si="0"/>
        <v>1</v>
      </c>
      <c r="B58" s="4" t="str">
        <f>"BRUNO DA SILVA ROCHA"</f>
        <v>BRUNO DA SILVA ROCHA</v>
      </c>
      <c r="C58" s="4" t="str">
        <f>"TEC INDUSTRIAL ESPECIALIZADO"</f>
        <v>TEC INDUSTRIAL ESPECIALIZADO</v>
      </c>
      <c r="D58" s="5">
        <v>100</v>
      </c>
      <c r="E58" s="4" t="str">
        <f t="shared" si="4"/>
        <v>Funcionário</v>
      </c>
    </row>
    <row r="59" spans="1:5">
      <c r="A59" s="4" t="str">
        <f t="shared" si="0"/>
        <v>1</v>
      </c>
      <c r="B59" s="4" t="str">
        <f>"BRUNO HENRIQUE ARECO"</f>
        <v>BRUNO HENRIQUE ARECO</v>
      </c>
      <c r="C59" s="4" t="str">
        <f>"OFICIAL DE PRODUCAO INDUSTRIAL"</f>
        <v>OFICIAL DE PRODUCAO INDUSTRIAL</v>
      </c>
      <c r="D59" s="5">
        <v>100</v>
      </c>
      <c r="E59" s="4" t="str">
        <f t="shared" si="4"/>
        <v>Funcionário</v>
      </c>
    </row>
    <row r="60" spans="1:5">
      <c r="A60" s="4" t="str">
        <f t="shared" si="0"/>
        <v>1</v>
      </c>
      <c r="B60" s="4" t="str">
        <f>"CAIQUE GUSTAVO POUZA PEREIRA"</f>
        <v>CAIQUE GUSTAVO POUZA PEREIRA</v>
      </c>
      <c r="C60" s="4" t="str">
        <f>"OFICIAL DE PRODUCAO INDUSTRIAL"</f>
        <v>OFICIAL DE PRODUCAO INDUSTRIAL</v>
      </c>
      <c r="D60" s="5">
        <v>100</v>
      </c>
      <c r="E60" s="4" t="str">
        <f t="shared" si="4"/>
        <v>Funcionário</v>
      </c>
    </row>
    <row r="61" spans="1:5">
      <c r="A61" s="4" t="str">
        <f t="shared" si="0"/>
        <v>1</v>
      </c>
      <c r="B61" s="4" t="str">
        <f>"CARLA FERNANDA DE CARVALHO RAMOS CORDEIR"</f>
        <v>CARLA FERNANDA DE CARVALHO RAMOS CORDEIR</v>
      </c>
      <c r="C61" s="4" t="str">
        <f>"TECNICO ADM ESPECIALIZADO"</f>
        <v>TECNICO ADM ESPECIALIZADO</v>
      </c>
      <c r="D61" s="5">
        <v>100</v>
      </c>
      <c r="E61" s="4" t="str">
        <f t="shared" si="4"/>
        <v>Funcionário</v>
      </c>
    </row>
    <row r="62" spans="1:5">
      <c r="A62" s="4" t="str">
        <f t="shared" si="0"/>
        <v>1</v>
      </c>
      <c r="B62" s="4" t="str">
        <f>"CARLA VALERIA FELIX CAMARGO"</f>
        <v>CARLA VALERIA FELIX CAMARGO</v>
      </c>
      <c r="C62" s="4" t="str">
        <f>"AUX TECNICO ADMINISTRATIVO"</f>
        <v>AUX TECNICO ADMINISTRATIVO</v>
      </c>
      <c r="D62" s="5">
        <v>100</v>
      </c>
      <c r="E62" s="4" t="str">
        <f t="shared" si="4"/>
        <v>Funcionário</v>
      </c>
    </row>
    <row r="63" spans="1:5">
      <c r="A63" s="4" t="str">
        <f t="shared" si="0"/>
        <v>1</v>
      </c>
      <c r="B63" s="4" t="str">
        <f>"CARLOS ALBERTO DE OLIVEIRA"</f>
        <v>CARLOS ALBERTO DE OLIVEIRA</v>
      </c>
      <c r="C63" s="4" t="str">
        <f>"TECNICO ADM ESPECIALIZADO"</f>
        <v>TECNICO ADM ESPECIALIZADO</v>
      </c>
      <c r="D63" s="5">
        <v>100</v>
      </c>
      <c r="E63" s="4" t="str">
        <f>"Aposentado"</f>
        <v>Aposentado</v>
      </c>
    </row>
    <row r="64" spans="1:5">
      <c r="A64" s="4" t="str">
        <f t="shared" si="0"/>
        <v>1</v>
      </c>
      <c r="B64" s="4" t="str">
        <f>"CARLOS ALBERTO DIAS FERNANDES"</f>
        <v>CARLOS ALBERTO DIAS FERNANDES</v>
      </c>
      <c r="C64" s="4" t="str">
        <f>"AUXILIAR TECNICO INDUSTRIAL"</f>
        <v>AUXILIAR TECNICO INDUSTRIAL</v>
      </c>
      <c r="D64" s="5">
        <v>100</v>
      </c>
      <c r="E64" s="4" t="str">
        <f>"Aposentado"</f>
        <v>Aposentado</v>
      </c>
    </row>
    <row r="65" spans="1:5">
      <c r="A65" s="4" t="str">
        <f t="shared" si="0"/>
        <v>1</v>
      </c>
      <c r="B65" s="4" t="str">
        <f>"CARLOS ALBERTO MACHADO"</f>
        <v>CARLOS ALBERTO MACHADO</v>
      </c>
      <c r="C65" s="4" t="str">
        <f>"OPER PRODUCAO III"</f>
        <v>OPER PRODUCAO III</v>
      </c>
      <c r="D65" s="5">
        <v>100</v>
      </c>
      <c r="E65" s="4" t="str">
        <f>"Funcionário"</f>
        <v>Funcionário</v>
      </c>
    </row>
    <row r="66" spans="1:5">
      <c r="A66" s="4" t="str">
        <f t="shared" si="0"/>
        <v>1</v>
      </c>
      <c r="B66" s="4" t="str">
        <f>"CARLOS ANTONIO RIBEIRO"</f>
        <v>CARLOS ANTONIO RIBEIRO</v>
      </c>
      <c r="C66" s="4" t="str">
        <f>"BOMBEIRO CIVIL"</f>
        <v>BOMBEIRO CIVIL</v>
      </c>
      <c r="D66" s="5">
        <v>100</v>
      </c>
      <c r="E66" s="4" t="str">
        <f>"Aposentado"</f>
        <v>Aposentado</v>
      </c>
    </row>
    <row r="67" spans="1:5">
      <c r="A67" s="4" t="str">
        <f t="shared" ref="A67:A130" si="5">"1"</f>
        <v>1</v>
      </c>
      <c r="B67" s="4" t="str">
        <f>"CARLOS DIVINO DE ALMEIDA JUNIOR"</f>
        <v>CARLOS DIVINO DE ALMEIDA JUNIOR</v>
      </c>
      <c r="C67" s="4" t="str">
        <f>"OF FERRAMENTARIA INDUSTRIAL"</f>
        <v>OF FERRAMENTARIA INDUSTRIAL</v>
      </c>
      <c r="D67" s="5">
        <v>100</v>
      </c>
      <c r="E67" s="4" t="str">
        <f>"Funcionário"</f>
        <v>Funcionário</v>
      </c>
    </row>
    <row r="68" spans="1:5">
      <c r="A68" s="4" t="str">
        <f t="shared" si="5"/>
        <v>1</v>
      </c>
      <c r="B68" s="4" t="str">
        <f>"CARLOS EDUARDO MAIA"</f>
        <v>CARLOS EDUARDO MAIA</v>
      </c>
      <c r="C68" s="4" t="str">
        <f>"TEC INDUSTRIAL ESPECIALIZADO"</f>
        <v>TEC INDUSTRIAL ESPECIALIZADO</v>
      </c>
      <c r="D68" s="5">
        <v>100</v>
      </c>
      <c r="E68" s="4" t="str">
        <f>"Funcionário"</f>
        <v>Funcionário</v>
      </c>
    </row>
    <row r="69" spans="1:5">
      <c r="A69" s="4" t="str">
        <f t="shared" si="5"/>
        <v>1</v>
      </c>
      <c r="B69" s="4" t="str">
        <f>"CARLOS HENRIQUE XAVIER DA SILVA"</f>
        <v>CARLOS HENRIQUE XAVIER DA SILVA</v>
      </c>
      <c r="C69" s="4" t="str">
        <f>"OFICIAL DE PRODUCAO INDUSTRIAL"</f>
        <v>OFICIAL DE PRODUCAO INDUSTRIAL</v>
      </c>
      <c r="D69" s="5">
        <v>100</v>
      </c>
      <c r="E69" s="4" t="str">
        <f>"Funcionário"</f>
        <v>Funcionário</v>
      </c>
    </row>
    <row r="70" spans="1:5">
      <c r="A70" s="4" t="str">
        <f t="shared" si="5"/>
        <v>1</v>
      </c>
      <c r="B70" s="4" t="str">
        <f>"CARLOS JOSE SANTANA"</f>
        <v>CARLOS JOSE SANTANA</v>
      </c>
      <c r="C70" s="4" t="str">
        <f>"OFICIAL DE PRODUCAO INDUSTRIAL"</f>
        <v>OFICIAL DE PRODUCAO INDUSTRIAL</v>
      </c>
      <c r="D70" s="5">
        <v>100</v>
      </c>
      <c r="E70" s="4" t="str">
        <f>"Aposentado"</f>
        <v>Aposentado</v>
      </c>
    </row>
    <row r="71" spans="1:5">
      <c r="A71" s="4" t="str">
        <f t="shared" si="5"/>
        <v>1</v>
      </c>
      <c r="B71" s="4" t="str">
        <f>"CARLOS ROGERIO DA FONSECA"</f>
        <v>CARLOS ROGERIO DA FONSECA</v>
      </c>
      <c r="C71" s="4" t="str">
        <f>"AUXILIAR TECNICO INDUSTRIAL"</f>
        <v>AUXILIAR TECNICO INDUSTRIAL</v>
      </c>
      <c r="D71" s="5">
        <v>100</v>
      </c>
      <c r="E71" s="4" t="str">
        <f>"Funcionário"</f>
        <v>Funcionário</v>
      </c>
    </row>
    <row r="72" spans="1:5">
      <c r="A72" s="4" t="str">
        <f t="shared" si="5"/>
        <v>1</v>
      </c>
      <c r="B72" s="4" t="str">
        <f>"CARMO ANGELICO DE SOUZA"</f>
        <v>CARMO ANGELICO DE SOUZA</v>
      </c>
      <c r="C72" s="4" t="str">
        <f>"OFICIAL DE PRODUCAO INDUSTRIAL"</f>
        <v>OFICIAL DE PRODUCAO INDUSTRIAL</v>
      </c>
      <c r="D72" s="5">
        <v>100</v>
      </c>
      <c r="E72" s="4" t="str">
        <f>"Aposentado"</f>
        <v>Aposentado</v>
      </c>
    </row>
    <row r="73" spans="1:5">
      <c r="A73" s="4" t="str">
        <f t="shared" si="5"/>
        <v>1</v>
      </c>
      <c r="B73" s="4" t="str">
        <f>"CELIO CAETANO DA SILVA JUNIOR"</f>
        <v>CELIO CAETANO DA SILVA JUNIOR</v>
      </c>
      <c r="C73" s="4" t="str">
        <f>"OPER PRODUCAO III"</f>
        <v>OPER PRODUCAO III</v>
      </c>
      <c r="D73" s="5">
        <v>100</v>
      </c>
      <c r="E73" s="4" t="str">
        <f>"Funcionário"</f>
        <v>Funcionário</v>
      </c>
    </row>
    <row r="74" spans="1:5">
      <c r="A74" s="4" t="str">
        <f t="shared" si="5"/>
        <v>1</v>
      </c>
      <c r="B74" s="4" t="str">
        <f>"CELIO RODRIGUES ALVES"</f>
        <v>CELIO RODRIGUES ALVES</v>
      </c>
      <c r="C74" s="4" t="str">
        <f>"OFICIAL DE PRODUCAO INDUSTRIAL"</f>
        <v>OFICIAL DE PRODUCAO INDUSTRIAL</v>
      </c>
      <c r="D74" s="5">
        <v>100</v>
      </c>
      <c r="E74" s="4" t="str">
        <f>"Aposentado"</f>
        <v>Aposentado</v>
      </c>
    </row>
    <row r="75" spans="1:5">
      <c r="A75" s="4" t="str">
        <f t="shared" si="5"/>
        <v>1</v>
      </c>
      <c r="B75" s="4" t="str">
        <f>"CELSO ANTONIO LAMIM"</f>
        <v>CELSO ANTONIO LAMIM</v>
      </c>
      <c r="C75" s="4" t="str">
        <f>"AGENTE DE APOIO OPERACIONAL"</f>
        <v>AGENTE DE APOIO OPERACIONAL</v>
      </c>
      <c r="D75" s="5">
        <v>100</v>
      </c>
      <c r="E75" s="4" t="str">
        <f>"Funcionário"</f>
        <v>Funcionário</v>
      </c>
    </row>
    <row r="76" spans="1:5">
      <c r="A76" s="4" t="str">
        <f t="shared" si="5"/>
        <v>1</v>
      </c>
      <c r="B76" s="4" t="str">
        <f>"CELSO BENEDITO MOREIRA"</f>
        <v>CELSO BENEDITO MOREIRA</v>
      </c>
      <c r="C76" s="4" t="str">
        <f>"MOTORISTA MOP"</f>
        <v>MOTORISTA MOP</v>
      </c>
      <c r="D76" s="5">
        <v>100</v>
      </c>
      <c r="E76" s="4" t="str">
        <f>"Aposentado"</f>
        <v>Aposentado</v>
      </c>
    </row>
    <row r="77" spans="1:5">
      <c r="A77" s="4" t="str">
        <f t="shared" si="5"/>
        <v>1</v>
      </c>
      <c r="B77" s="4" t="str">
        <f>"CESAR AUGUSTO SENE"</f>
        <v>CESAR AUGUSTO SENE</v>
      </c>
      <c r="C77" s="4" t="str">
        <f>"TEC INDUSTRIAL ESPECIALIZADO"</f>
        <v>TEC INDUSTRIAL ESPECIALIZADO</v>
      </c>
      <c r="D77" s="5">
        <v>100</v>
      </c>
      <c r="E77" s="4" t="str">
        <f t="shared" ref="E77:E84" si="6">"Funcionário"</f>
        <v>Funcionário</v>
      </c>
    </row>
    <row r="78" spans="1:5">
      <c r="A78" s="4" t="str">
        <f t="shared" si="5"/>
        <v>1</v>
      </c>
      <c r="B78" s="4" t="str">
        <f>"CEZAR PROCOPIO DOS SANTOS NETO"</f>
        <v>CEZAR PROCOPIO DOS SANTOS NETO</v>
      </c>
      <c r="C78" s="4" t="str">
        <f>"AUXILIAR TECNICO INDUSTRIAL"</f>
        <v>AUXILIAR TECNICO INDUSTRIAL</v>
      </c>
      <c r="D78" s="5">
        <v>100</v>
      </c>
      <c r="E78" s="4" t="str">
        <f t="shared" si="6"/>
        <v>Funcionário</v>
      </c>
    </row>
    <row r="79" spans="1:5">
      <c r="A79" s="4" t="str">
        <f t="shared" si="5"/>
        <v>1</v>
      </c>
      <c r="B79" s="4" t="str">
        <f>"CHRISTIAN ANDRADE SALES"</f>
        <v>CHRISTIAN ANDRADE SALES</v>
      </c>
      <c r="C79" s="4" t="str">
        <f>"ENGENHEIRO"</f>
        <v>ENGENHEIRO</v>
      </c>
      <c r="D79" s="5">
        <v>100</v>
      </c>
      <c r="E79" s="4" t="str">
        <f t="shared" si="6"/>
        <v>Funcionário</v>
      </c>
    </row>
    <row r="80" spans="1:5">
      <c r="A80" s="4" t="str">
        <f t="shared" si="5"/>
        <v>1</v>
      </c>
      <c r="B80" s="4" t="str">
        <f>"CHRISTIAN RODRIGUES FRANCELINO CORTEZ"</f>
        <v>CHRISTIAN RODRIGUES FRANCELINO CORTEZ</v>
      </c>
      <c r="C80" s="4" t="str">
        <f>"OFICIAL DE PRODUCAO INDUSTRIAL"</f>
        <v>OFICIAL DE PRODUCAO INDUSTRIAL</v>
      </c>
      <c r="D80" s="5">
        <v>100</v>
      </c>
      <c r="E80" s="4" t="str">
        <f t="shared" si="6"/>
        <v>Funcionário</v>
      </c>
    </row>
    <row r="81" spans="1:5">
      <c r="A81" s="4" t="str">
        <f t="shared" si="5"/>
        <v>1</v>
      </c>
      <c r="B81" s="4" t="str">
        <f>"CLAUDINEI DI MARQUI"</f>
        <v>CLAUDINEI DI MARQUI</v>
      </c>
      <c r="C81" s="4" t="str">
        <f>"AGENTE DE APOIO OPERACIONAL"</f>
        <v>AGENTE DE APOIO OPERACIONAL</v>
      </c>
      <c r="D81" s="5">
        <v>100</v>
      </c>
      <c r="E81" s="4" t="str">
        <f t="shared" si="6"/>
        <v>Funcionário</v>
      </c>
    </row>
    <row r="82" spans="1:5">
      <c r="A82" s="4" t="str">
        <f t="shared" si="5"/>
        <v>1</v>
      </c>
      <c r="B82" s="4" t="str">
        <f>"CLAUDINEI WILLIANS XAVIER"</f>
        <v>CLAUDINEI WILLIANS XAVIER</v>
      </c>
      <c r="C82" s="4" t="str">
        <f>"AUXILIAR TECNICO INDUSTRIAL"</f>
        <v>AUXILIAR TECNICO INDUSTRIAL</v>
      </c>
      <c r="D82" s="5">
        <v>100</v>
      </c>
      <c r="E82" s="4" t="str">
        <f t="shared" si="6"/>
        <v>Funcionário</v>
      </c>
    </row>
    <row r="83" spans="1:5">
      <c r="A83" s="4" t="str">
        <f t="shared" si="5"/>
        <v>1</v>
      </c>
      <c r="B83" s="4" t="str">
        <f>"CLAUDIO FERNANDO CLAUDINO SIMAS"</f>
        <v>CLAUDIO FERNANDO CLAUDINO SIMAS</v>
      </c>
      <c r="C83" s="4" t="str">
        <f>"ANALISTA ESPECIALIZADO"</f>
        <v>ANALISTA ESPECIALIZADO</v>
      </c>
      <c r="D83" s="5">
        <v>100</v>
      </c>
      <c r="E83" s="4" t="str">
        <f t="shared" si="6"/>
        <v>Funcionário</v>
      </c>
    </row>
    <row r="84" spans="1:5">
      <c r="A84" s="4" t="str">
        <f t="shared" si="5"/>
        <v>1</v>
      </c>
      <c r="B84" s="4" t="str">
        <f>"CLEIDE DE OLIVEIRA ELEOTERIO"</f>
        <v>CLEIDE DE OLIVEIRA ELEOTERIO</v>
      </c>
      <c r="C84" s="4" t="str">
        <f>"AUX TECNICO ADMINISTRATIVO"</f>
        <v>AUX TECNICO ADMINISTRATIVO</v>
      </c>
      <c r="D84" s="5">
        <v>100</v>
      </c>
      <c r="E84" s="4" t="str">
        <f t="shared" si="6"/>
        <v>Funcionário</v>
      </c>
    </row>
    <row r="85" spans="1:5">
      <c r="A85" s="4" t="str">
        <f t="shared" si="5"/>
        <v>1</v>
      </c>
      <c r="B85" s="4" t="str">
        <f>"CRISTHIAN VINICIUS DA SILVA"</f>
        <v>CRISTHIAN VINICIUS DA SILVA</v>
      </c>
      <c r="C85" s="4" t="str">
        <f>"APRENDIZ- PRODUÇÃO"</f>
        <v>APRENDIZ- PRODUÇÃO</v>
      </c>
      <c r="D85" s="5">
        <v>103</v>
      </c>
      <c r="E85" s="4" t="str">
        <f>"Aprendiz"</f>
        <v>Aprendiz</v>
      </c>
    </row>
    <row r="86" spans="1:5">
      <c r="A86" s="4" t="str">
        <f t="shared" si="5"/>
        <v>1</v>
      </c>
      <c r="B86" s="4" t="str">
        <f>"CRISTHIANI ALVES ROSA"</f>
        <v>CRISTHIANI ALVES ROSA</v>
      </c>
      <c r="C86" s="4" t="str">
        <f>"OFICIAL DE PRODUCAO INDUSTRIAL"</f>
        <v>OFICIAL DE PRODUCAO INDUSTRIAL</v>
      </c>
      <c r="D86" s="5">
        <v>100</v>
      </c>
      <c r="E86" s="4" t="str">
        <f t="shared" ref="E86:E95" si="7">"Funcionário"</f>
        <v>Funcionário</v>
      </c>
    </row>
    <row r="87" spans="1:5">
      <c r="A87" s="4" t="str">
        <f t="shared" si="5"/>
        <v>1</v>
      </c>
      <c r="B87" s="4" t="str">
        <f>"DAGOBERTO GUILHERME"</f>
        <v>DAGOBERTO GUILHERME</v>
      </c>
      <c r="C87" s="4" t="str">
        <f>"TEC INDUSTRIAL ESPECIALIZADO"</f>
        <v>TEC INDUSTRIAL ESPECIALIZADO</v>
      </c>
      <c r="D87" s="5">
        <v>100</v>
      </c>
      <c r="E87" s="4" t="str">
        <f t="shared" si="7"/>
        <v>Funcionário</v>
      </c>
    </row>
    <row r="88" spans="1:5">
      <c r="A88" s="4" t="str">
        <f t="shared" si="5"/>
        <v>1</v>
      </c>
      <c r="B88" s="4" t="str">
        <f>"DANIEL DE PAIVA LEMES"</f>
        <v>DANIEL DE PAIVA LEMES</v>
      </c>
      <c r="C88" s="4" t="str">
        <f>"MOTORISTA"</f>
        <v>MOTORISTA</v>
      </c>
      <c r="D88" s="5">
        <v>100</v>
      </c>
      <c r="E88" s="4" t="str">
        <f t="shared" si="7"/>
        <v>Funcionário</v>
      </c>
    </row>
    <row r="89" spans="1:5">
      <c r="A89" s="4" t="str">
        <f t="shared" si="5"/>
        <v>1</v>
      </c>
      <c r="B89" s="4" t="str">
        <f>"DANIEL DE PAULA"</f>
        <v>DANIEL DE PAULA</v>
      </c>
      <c r="C89" s="4" t="str">
        <f>"OFICIAL DE PRODUCAO INDUSTRIAL"</f>
        <v>OFICIAL DE PRODUCAO INDUSTRIAL</v>
      </c>
      <c r="D89" s="5">
        <v>100</v>
      </c>
      <c r="E89" s="4" t="str">
        <f t="shared" si="7"/>
        <v>Funcionário</v>
      </c>
    </row>
    <row r="90" spans="1:5">
      <c r="A90" s="4" t="str">
        <f t="shared" si="5"/>
        <v>1</v>
      </c>
      <c r="B90" s="4" t="str">
        <f>"DANIEL RODRIGO REIS CASTRO"</f>
        <v>DANIEL RODRIGO REIS CASTRO</v>
      </c>
      <c r="C90" s="4" t="str">
        <f>"ADVOGADO"</f>
        <v>ADVOGADO</v>
      </c>
      <c r="D90" s="5">
        <v>104</v>
      </c>
      <c r="E90" s="4" t="str">
        <f t="shared" si="7"/>
        <v>Funcionário</v>
      </c>
    </row>
    <row r="91" spans="1:5">
      <c r="A91" s="4" t="str">
        <f t="shared" si="5"/>
        <v>1</v>
      </c>
      <c r="B91" s="4" t="str">
        <f>"DANILA SULEY APARECIDA DOS SANTOS"</f>
        <v>DANILA SULEY APARECIDA DOS SANTOS</v>
      </c>
      <c r="C91" s="4" t="str">
        <f>"AUX TECNICO ADMINISTRATIVO"</f>
        <v>AUX TECNICO ADMINISTRATIVO</v>
      </c>
      <c r="D91" s="5">
        <v>100</v>
      </c>
      <c r="E91" s="4" t="str">
        <f t="shared" si="7"/>
        <v>Funcionário</v>
      </c>
    </row>
    <row r="92" spans="1:5">
      <c r="A92" s="4" t="str">
        <f t="shared" si="5"/>
        <v>1</v>
      </c>
      <c r="B92" s="4" t="str">
        <f>"DARCY RODRIGUES DA COSTA JUNIOR"</f>
        <v>DARCY RODRIGUES DA COSTA JUNIOR</v>
      </c>
      <c r="C92" s="4" t="str">
        <f>"OFICIAL DE PRODUCAO INDUSTRIAL"</f>
        <v>OFICIAL DE PRODUCAO INDUSTRIAL</v>
      </c>
      <c r="D92" s="5">
        <v>100</v>
      </c>
      <c r="E92" s="4" t="str">
        <f t="shared" si="7"/>
        <v>Funcionário</v>
      </c>
    </row>
    <row r="93" spans="1:5">
      <c r="A93" s="4" t="str">
        <f t="shared" si="5"/>
        <v>1</v>
      </c>
      <c r="B93" s="4" t="str">
        <f>"DAVID HENRIQUE DE LUCENA SANCHES"</f>
        <v>DAVID HENRIQUE DE LUCENA SANCHES</v>
      </c>
      <c r="C93" s="4" t="str">
        <f>"OFICIAL DE PRODUCAO INDUSTRIAL"</f>
        <v>OFICIAL DE PRODUCAO INDUSTRIAL</v>
      </c>
      <c r="D93" s="5">
        <v>100</v>
      </c>
      <c r="E93" s="4" t="str">
        <f t="shared" si="7"/>
        <v>Funcionário</v>
      </c>
    </row>
    <row r="94" spans="1:5">
      <c r="A94" s="4" t="str">
        <f t="shared" si="5"/>
        <v>1</v>
      </c>
      <c r="B94" s="4" t="str">
        <f>"DAYANE ALESSANDRA FERRAZ DE CAMARGO"</f>
        <v>DAYANE ALESSANDRA FERRAZ DE CAMARGO</v>
      </c>
      <c r="C94" s="4" t="str">
        <f>"OFICIAL DE PRODUCAO INDUSTRIAL"</f>
        <v>OFICIAL DE PRODUCAO INDUSTRIAL</v>
      </c>
      <c r="D94" s="5">
        <v>100</v>
      </c>
      <c r="E94" s="4" t="str">
        <f t="shared" si="7"/>
        <v>Funcionário</v>
      </c>
    </row>
    <row r="95" spans="1:5">
      <c r="A95" s="4" t="str">
        <f t="shared" si="5"/>
        <v>1</v>
      </c>
      <c r="B95" s="4" t="str">
        <f>"DENITON VLADIMIR GONCALVES SERVULO"</f>
        <v>DENITON VLADIMIR GONCALVES SERVULO</v>
      </c>
      <c r="C95" s="4" t="str">
        <f>"AGENTE DE APOIO OPERACIONAL"</f>
        <v>AGENTE DE APOIO OPERACIONAL</v>
      </c>
      <c r="D95" s="5">
        <v>100</v>
      </c>
      <c r="E95" s="4" t="str">
        <f t="shared" si="7"/>
        <v>Funcionário</v>
      </c>
    </row>
    <row r="96" spans="1:5">
      <c r="A96" s="4" t="str">
        <f t="shared" si="5"/>
        <v>1</v>
      </c>
      <c r="B96" s="4" t="str">
        <f>"DEVANIL DOS SANTOS"</f>
        <v>DEVANIL DOS SANTOS</v>
      </c>
      <c r="C96" s="4" t="str">
        <f>"TEC INDUSTRIAL ESPECIALIZADO"</f>
        <v>TEC INDUSTRIAL ESPECIALIZADO</v>
      </c>
      <c r="D96" s="5">
        <v>100</v>
      </c>
      <c r="E96" s="4" t="str">
        <f>"Aposentado"</f>
        <v>Aposentado</v>
      </c>
    </row>
    <row r="97" spans="1:5">
      <c r="A97" s="4" t="str">
        <f t="shared" si="5"/>
        <v>1</v>
      </c>
      <c r="B97" s="4" t="str">
        <f>"DEYSIANE DA SILVA LUZ RODRIGUES ALVES"</f>
        <v>DEYSIANE DA SILVA LUZ RODRIGUES ALVES</v>
      </c>
      <c r="C97" s="4" t="str">
        <f>"OFICIAL DE PRODUCAO INDUSTRIAL"</f>
        <v>OFICIAL DE PRODUCAO INDUSTRIAL</v>
      </c>
      <c r="D97" s="5">
        <v>100</v>
      </c>
      <c r="E97" s="4" t="str">
        <f>"Funcionário"</f>
        <v>Funcionário</v>
      </c>
    </row>
    <row r="98" spans="1:5">
      <c r="A98" s="4" t="str">
        <f t="shared" si="5"/>
        <v>1</v>
      </c>
      <c r="B98" s="4" t="str">
        <f>"DIEGO DIAS ROZA"</f>
        <v>DIEGO DIAS ROZA</v>
      </c>
      <c r="C98" s="4" t="str">
        <f>"TEC INDUSTRIAL ESPECIALIZADO"</f>
        <v>TEC INDUSTRIAL ESPECIALIZADO</v>
      </c>
      <c r="D98" s="5">
        <v>100</v>
      </c>
      <c r="E98" s="4" t="str">
        <f>"Funcionário"</f>
        <v>Funcionário</v>
      </c>
    </row>
    <row r="99" spans="1:5">
      <c r="A99" s="4" t="str">
        <f t="shared" si="5"/>
        <v>1</v>
      </c>
      <c r="B99" s="4" t="str">
        <f>"DIEGO HENRIQUE DE OLIVEIRA"</f>
        <v>DIEGO HENRIQUE DE OLIVEIRA</v>
      </c>
      <c r="C99" s="4" t="str">
        <f>"TECNICO SEGURANÇA DO TRABALHO"</f>
        <v>TECNICO SEGURANÇA DO TRABALHO</v>
      </c>
      <c r="D99" s="5">
        <v>100</v>
      </c>
      <c r="E99" s="4" t="str">
        <f>"Funcionário"</f>
        <v>Funcionário</v>
      </c>
    </row>
    <row r="100" spans="1:5">
      <c r="A100" s="4" t="str">
        <f t="shared" si="5"/>
        <v>1</v>
      </c>
      <c r="B100" s="4" t="str">
        <f>"DIEGO LEMES TRAVEZANI"</f>
        <v>DIEGO LEMES TRAVEZANI</v>
      </c>
      <c r="C100" s="4" t="str">
        <f>"TEC INDUSTRIAL ESPECIALIZADO"</f>
        <v>TEC INDUSTRIAL ESPECIALIZADO</v>
      </c>
      <c r="D100" s="5">
        <v>100</v>
      </c>
      <c r="E100" s="4" t="str">
        <f>"Funcionário"</f>
        <v>Funcionário</v>
      </c>
    </row>
    <row r="101" spans="1:5">
      <c r="A101" s="4" t="str">
        <f t="shared" si="5"/>
        <v>1</v>
      </c>
      <c r="B101" s="4" t="str">
        <f>"DIOGO FARIA ALVES"</f>
        <v>DIOGO FARIA ALVES</v>
      </c>
      <c r="C101" s="4" t="str">
        <f>"TEC INDUSTRIAL ESPECIALIZADO"</f>
        <v>TEC INDUSTRIAL ESPECIALIZADO</v>
      </c>
      <c r="D101" s="5">
        <v>100</v>
      </c>
      <c r="E101" s="4" t="str">
        <f>"Funcionário"</f>
        <v>Funcionário</v>
      </c>
    </row>
    <row r="102" spans="1:5">
      <c r="A102" s="4" t="str">
        <f t="shared" si="5"/>
        <v>1</v>
      </c>
      <c r="B102" s="4" t="str">
        <f>"DOMINGOS SAVIO VITORINO"</f>
        <v>DOMINGOS SAVIO VITORINO</v>
      </c>
      <c r="C102" s="4" t="str">
        <f>"AUX TECNICO ADMINISTRATIVO"</f>
        <v>AUX TECNICO ADMINISTRATIVO</v>
      </c>
      <c r="D102" s="5">
        <v>100</v>
      </c>
      <c r="E102" s="4" t="str">
        <f>"Aposentado"</f>
        <v>Aposentado</v>
      </c>
    </row>
    <row r="103" spans="1:5">
      <c r="A103" s="4" t="str">
        <f t="shared" si="5"/>
        <v>1</v>
      </c>
      <c r="B103" s="4" t="str">
        <f>"DONIZETE MESSIAS DOS SANTOS"</f>
        <v>DONIZETE MESSIAS DOS SANTOS</v>
      </c>
      <c r="C103" s="4" t="str">
        <f>"OFICIAL DE PRODUCAO INDUSTRIAL"</f>
        <v>OFICIAL DE PRODUCAO INDUSTRIAL</v>
      </c>
      <c r="D103" s="5">
        <v>100</v>
      </c>
      <c r="E103" s="4" t="str">
        <f>"Aposentado"</f>
        <v>Aposentado</v>
      </c>
    </row>
    <row r="104" spans="1:5">
      <c r="A104" s="4" t="str">
        <f t="shared" si="5"/>
        <v>1</v>
      </c>
      <c r="B104" s="4" t="str">
        <f>"DOUGLAS FERNANDO DOS SANTOS"</f>
        <v>DOUGLAS FERNANDO DOS SANTOS</v>
      </c>
      <c r="C104" s="4" t="str">
        <f>"TEC INDUSTRIAL ESPECIALIZADO"</f>
        <v>TEC INDUSTRIAL ESPECIALIZADO</v>
      </c>
      <c r="D104" s="5">
        <v>100</v>
      </c>
      <c r="E104" s="4" t="str">
        <f t="shared" ref="E104:E111" si="8">"Funcionário"</f>
        <v>Funcionário</v>
      </c>
    </row>
    <row r="105" spans="1:5">
      <c r="A105" s="4" t="str">
        <f t="shared" si="5"/>
        <v>1</v>
      </c>
      <c r="B105" s="4" t="str">
        <f>"DURVAL GONCALVES DE FREITAS"</f>
        <v>DURVAL GONCALVES DE FREITAS</v>
      </c>
      <c r="C105" s="4" t="str">
        <f>"AUXILIAR TECNICO INDUSTRIAL"</f>
        <v>AUXILIAR TECNICO INDUSTRIAL</v>
      </c>
      <c r="D105" s="5">
        <v>100</v>
      </c>
      <c r="E105" s="4" t="str">
        <f t="shared" si="8"/>
        <v>Funcionário</v>
      </c>
    </row>
    <row r="106" spans="1:5">
      <c r="A106" s="4" t="str">
        <f t="shared" si="5"/>
        <v>1</v>
      </c>
      <c r="B106" s="4" t="str">
        <f>"EDESIO THEODORO DA FONSECA"</f>
        <v>EDESIO THEODORO DA FONSECA</v>
      </c>
      <c r="C106" s="4" t="str">
        <f>"OFICIAL DE PRODUCAO INDUSTRIAL"</f>
        <v>OFICIAL DE PRODUCAO INDUSTRIAL</v>
      </c>
      <c r="D106" s="5">
        <v>100</v>
      </c>
      <c r="E106" s="4" t="str">
        <f t="shared" si="8"/>
        <v>Funcionário</v>
      </c>
    </row>
    <row r="107" spans="1:5">
      <c r="A107" s="4" t="str">
        <f t="shared" si="5"/>
        <v>1</v>
      </c>
      <c r="B107" s="4" t="str">
        <f>"EDILSON VANDERLEI VITAL"</f>
        <v>EDILSON VANDERLEI VITAL</v>
      </c>
      <c r="C107" s="4" t="str">
        <f>"OFICIAL DE PRODUCAO INDUSTRIAL"</f>
        <v>OFICIAL DE PRODUCAO INDUSTRIAL</v>
      </c>
      <c r="D107" s="5">
        <v>100</v>
      </c>
      <c r="E107" s="4" t="str">
        <f t="shared" si="8"/>
        <v>Funcionário</v>
      </c>
    </row>
    <row r="108" spans="1:5">
      <c r="A108" s="4" t="str">
        <f t="shared" si="5"/>
        <v>1</v>
      </c>
      <c r="B108" s="4" t="str">
        <f>"EDIMAR DE SOUZA SILVA"</f>
        <v>EDIMAR DE SOUZA SILVA</v>
      </c>
      <c r="C108" s="4" t="str">
        <f>"MECANICO DE MANUTENCAO II"</f>
        <v>MECANICO DE MANUTENCAO II</v>
      </c>
      <c r="D108" s="5">
        <v>100</v>
      </c>
      <c r="E108" s="4" t="str">
        <f t="shared" si="8"/>
        <v>Funcionário</v>
      </c>
    </row>
    <row r="109" spans="1:5">
      <c r="A109" s="4" t="str">
        <f t="shared" si="5"/>
        <v>1</v>
      </c>
      <c r="B109" s="4" t="str">
        <f>"EDMILSON BARBOSA DA SILVA"</f>
        <v>EDMILSON BARBOSA DA SILVA</v>
      </c>
      <c r="C109" s="4" t="str">
        <f>"ENGENHEIRO"</f>
        <v>ENGENHEIRO</v>
      </c>
      <c r="D109" s="5">
        <v>100</v>
      </c>
      <c r="E109" s="4" t="str">
        <f t="shared" si="8"/>
        <v>Funcionário</v>
      </c>
    </row>
    <row r="110" spans="1:5">
      <c r="A110" s="4" t="str">
        <f t="shared" si="5"/>
        <v>1</v>
      </c>
      <c r="B110" s="4" t="str">
        <f>"EDMILTON PEDRO VITAL"</f>
        <v>EDMILTON PEDRO VITAL</v>
      </c>
      <c r="C110" s="4" t="str">
        <f>"OFICIAL DE PRODUCAO INDUSTRIAL"</f>
        <v>OFICIAL DE PRODUCAO INDUSTRIAL</v>
      </c>
      <c r="D110" s="5">
        <v>100</v>
      </c>
      <c r="E110" s="4" t="str">
        <f t="shared" si="8"/>
        <v>Funcionário</v>
      </c>
    </row>
    <row r="111" spans="1:5">
      <c r="A111" s="4" t="str">
        <f t="shared" si="5"/>
        <v>1</v>
      </c>
      <c r="B111" s="4" t="str">
        <f>"EDNA MARA RIBEIRO DE MORAES"</f>
        <v>EDNA MARA RIBEIRO DE MORAES</v>
      </c>
      <c r="C111" s="4" t="str">
        <f>"ANALISTA ESPECIALIZADO"</f>
        <v>ANALISTA ESPECIALIZADO</v>
      </c>
      <c r="D111" s="5">
        <v>100</v>
      </c>
      <c r="E111" s="4" t="str">
        <f t="shared" si="8"/>
        <v>Funcionário</v>
      </c>
    </row>
    <row r="112" spans="1:5">
      <c r="A112" s="4" t="str">
        <f t="shared" si="5"/>
        <v>1</v>
      </c>
      <c r="B112" s="4" t="str">
        <f>"EDNEIA DUARTE DE OLIVEIRA"</f>
        <v>EDNEIA DUARTE DE OLIVEIRA</v>
      </c>
      <c r="C112" s="4" t="str">
        <f>"AGENTE DE APOIO OPERACIONAL"</f>
        <v>AGENTE DE APOIO OPERACIONAL</v>
      </c>
      <c r="D112" s="5">
        <v>100</v>
      </c>
      <c r="E112" s="4" t="str">
        <f>"Aposentado"</f>
        <v>Aposentado</v>
      </c>
    </row>
    <row r="113" spans="1:5">
      <c r="A113" s="4" t="str">
        <f t="shared" si="5"/>
        <v>1</v>
      </c>
      <c r="B113" s="4" t="str">
        <f>"EDNO MATIAS"</f>
        <v>EDNO MATIAS</v>
      </c>
      <c r="C113" s="4" t="str">
        <f>"OFICIAL DE PRODUCAO INDUSTRIAL"</f>
        <v>OFICIAL DE PRODUCAO INDUSTRIAL</v>
      </c>
      <c r="D113" s="5">
        <v>100</v>
      </c>
      <c r="E113" s="4" t="str">
        <f>"Aposentado"</f>
        <v>Aposentado</v>
      </c>
    </row>
    <row r="114" spans="1:5">
      <c r="A114" s="4" t="str">
        <f t="shared" si="5"/>
        <v>1</v>
      </c>
      <c r="B114" s="4" t="str">
        <f>"EDSON MATIAS"</f>
        <v>EDSON MATIAS</v>
      </c>
      <c r="C114" s="4" t="str">
        <f>"AUXILIAR TECNICO INDUSTRIAL"</f>
        <v>AUXILIAR TECNICO INDUSTRIAL</v>
      </c>
      <c r="D114" s="5">
        <v>100</v>
      </c>
      <c r="E114" s="4" t="str">
        <f>"Aposentado"</f>
        <v>Aposentado</v>
      </c>
    </row>
    <row r="115" spans="1:5">
      <c r="A115" s="4" t="str">
        <f t="shared" si="5"/>
        <v>1</v>
      </c>
      <c r="B115" s="4" t="str">
        <f>"EDUARDO AUGUSTO DE OLIVEIRA"</f>
        <v>EDUARDO AUGUSTO DE OLIVEIRA</v>
      </c>
      <c r="C115" s="4" t="str">
        <f>"TEC INDUSTRIAL ESPECIALIZADO"</f>
        <v>TEC INDUSTRIAL ESPECIALIZADO</v>
      </c>
      <c r="D115" s="5">
        <v>100</v>
      </c>
      <c r="E115" s="4" t="str">
        <f t="shared" ref="E115:E130" si="9">"Funcionário"</f>
        <v>Funcionário</v>
      </c>
    </row>
    <row r="116" spans="1:5">
      <c r="A116" s="4" t="str">
        <f t="shared" si="5"/>
        <v>1</v>
      </c>
      <c r="B116" s="4" t="str">
        <f>"EDUARDO JOSE MARTINELLI CAMPOS"</f>
        <v>EDUARDO JOSE MARTINELLI CAMPOS</v>
      </c>
      <c r="C116" s="4" t="str">
        <f>"OFICIAL DE PRODUCAO INDUSTRIAL"</f>
        <v>OFICIAL DE PRODUCAO INDUSTRIAL</v>
      </c>
      <c r="D116" s="5">
        <v>100</v>
      </c>
      <c r="E116" s="4" t="str">
        <f t="shared" si="9"/>
        <v>Funcionário</v>
      </c>
    </row>
    <row r="117" spans="1:5">
      <c r="A117" s="4" t="str">
        <f t="shared" si="5"/>
        <v>1</v>
      </c>
      <c r="B117" s="4" t="str">
        <f>"EDUARDO LEVI DOS SANTOS MOREIRA"</f>
        <v>EDUARDO LEVI DOS SANTOS MOREIRA</v>
      </c>
      <c r="C117" s="4" t="str">
        <f>"OFICIAL DE PRODUCAO INDUSTRIAL"</f>
        <v>OFICIAL DE PRODUCAO INDUSTRIAL</v>
      </c>
      <c r="D117" s="5">
        <v>100</v>
      </c>
      <c r="E117" s="4" t="str">
        <f t="shared" si="9"/>
        <v>Funcionário</v>
      </c>
    </row>
    <row r="118" spans="1:5">
      <c r="A118" s="4" t="str">
        <f t="shared" si="5"/>
        <v>1</v>
      </c>
      <c r="B118" s="4" t="str">
        <f>"EDUARDO MOREIRA MOTA"</f>
        <v>EDUARDO MOREIRA MOTA</v>
      </c>
      <c r="C118" s="4" t="str">
        <f>"TEC INDUSTRIAL ESPECIALIZADO"</f>
        <v>TEC INDUSTRIAL ESPECIALIZADO</v>
      </c>
      <c r="D118" s="5">
        <v>100</v>
      </c>
      <c r="E118" s="4" t="str">
        <f t="shared" si="9"/>
        <v>Funcionário</v>
      </c>
    </row>
    <row r="119" spans="1:5">
      <c r="A119" s="4" t="str">
        <f t="shared" si="5"/>
        <v>1</v>
      </c>
      <c r="B119" s="4" t="str">
        <f>"EDVALDO DOS SANTOS RIBEIRO"</f>
        <v>EDVALDO DOS SANTOS RIBEIRO</v>
      </c>
      <c r="C119" s="4" t="str">
        <f>"BOMBEIRO CIVIL"</f>
        <v>BOMBEIRO CIVIL</v>
      </c>
      <c r="D119" s="5">
        <v>100</v>
      </c>
      <c r="E119" s="4" t="str">
        <f t="shared" si="9"/>
        <v>Funcionário</v>
      </c>
    </row>
    <row r="120" spans="1:5">
      <c r="A120" s="4" t="str">
        <f t="shared" si="5"/>
        <v>1</v>
      </c>
      <c r="B120" s="4" t="str">
        <f>"ELIAS SANTOS FERREIRA"</f>
        <v>ELIAS SANTOS FERREIRA</v>
      </c>
      <c r="C120" s="4" t="str">
        <f>"OFICIAL DE PRODUCAO INDUSTRIAL"</f>
        <v>OFICIAL DE PRODUCAO INDUSTRIAL</v>
      </c>
      <c r="D120" s="5">
        <v>100</v>
      </c>
      <c r="E120" s="4" t="str">
        <f t="shared" si="9"/>
        <v>Funcionário</v>
      </c>
    </row>
    <row r="121" spans="1:5">
      <c r="A121" s="4" t="str">
        <f t="shared" si="5"/>
        <v>1</v>
      </c>
      <c r="B121" s="4" t="str">
        <f>"ELIVANIA CRISTINA CAROLINO LOPES"</f>
        <v>ELIVANIA CRISTINA CAROLINO LOPES</v>
      </c>
      <c r="C121" s="4" t="str">
        <f>"TEC INDUSTRIAL ESPECIALIZADO"</f>
        <v>TEC INDUSTRIAL ESPECIALIZADO</v>
      </c>
      <c r="D121" s="5">
        <v>100</v>
      </c>
      <c r="E121" s="4" t="str">
        <f t="shared" si="9"/>
        <v>Funcionário</v>
      </c>
    </row>
    <row r="122" spans="1:5">
      <c r="A122" s="4" t="str">
        <f t="shared" si="5"/>
        <v>1</v>
      </c>
      <c r="B122" s="4" t="str">
        <f>"ELLEN DE ARAUJO FIGUEIRA"</f>
        <v>ELLEN DE ARAUJO FIGUEIRA</v>
      </c>
      <c r="C122" s="4" t="str">
        <f>"ESPECIALISTA"</f>
        <v>ESPECIALISTA</v>
      </c>
      <c r="D122" s="5">
        <v>100</v>
      </c>
      <c r="E122" s="4" t="str">
        <f t="shared" si="9"/>
        <v>Funcionário</v>
      </c>
    </row>
    <row r="123" spans="1:5">
      <c r="A123" s="4" t="str">
        <f t="shared" si="5"/>
        <v>1</v>
      </c>
      <c r="B123" s="4" t="str">
        <f>"EMILY DOMINGUES FAUSTINO"</f>
        <v>EMILY DOMINGUES FAUSTINO</v>
      </c>
      <c r="C123" s="4" t="str">
        <f>"TEC INDUSTRIAL ESPECIALIZADO"</f>
        <v>TEC INDUSTRIAL ESPECIALIZADO</v>
      </c>
      <c r="D123" s="5">
        <v>100</v>
      </c>
      <c r="E123" s="4" t="str">
        <f t="shared" si="9"/>
        <v>Funcionário</v>
      </c>
    </row>
    <row r="124" spans="1:5">
      <c r="A124" s="4" t="str">
        <f t="shared" si="5"/>
        <v>1</v>
      </c>
      <c r="B124" s="4" t="str">
        <f>"ENZO GROSSI LIBERO"</f>
        <v>ENZO GROSSI LIBERO</v>
      </c>
      <c r="C124" s="4" t="str">
        <f>"MILITAR DA ATIVA"</f>
        <v>MILITAR DA ATIVA</v>
      </c>
      <c r="D124" s="5">
        <v>105</v>
      </c>
      <c r="E124" s="4" t="str">
        <f t="shared" si="9"/>
        <v>Funcionário</v>
      </c>
    </row>
    <row r="125" spans="1:5">
      <c r="A125" s="4" t="str">
        <f t="shared" si="5"/>
        <v>1</v>
      </c>
      <c r="B125" s="4" t="str">
        <f>"ERICA CRISTINA BARBOSA"</f>
        <v>ERICA CRISTINA BARBOSA</v>
      </c>
      <c r="C125" s="4" t="str">
        <f>"AGENTE DE APOIO OPERACIONAL"</f>
        <v>AGENTE DE APOIO OPERACIONAL</v>
      </c>
      <c r="D125" s="5">
        <v>100</v>
      </c>
      <c r="E125" s="4" t="str">
        <f t="shared" si="9"/>
        <v>Funcionário</v>
      </c>
    </row>
    <row r="126" spans="1:5">
      <c r="A126" s="4" t="str">
        <f t="shared" si="5"/>
        <v>1</v>
      </c>
      <c r="B126" s="4" t="str">
        <f>"ERIKA FLAVIA DA COSTA FAUSTINO"</f>
        <v>ERIKA FLAVIA DA COSTA FAUSTINO</v>
      </c>
      <c r="C126" s="4" t="str">
        <f>"BOMBEIRO CIVIL"</f>
        <v>BOMBEIRO CIVIL</v>
      </c>
      <c r="D126" s="5">
        <v>100</v>
      </c>
      <c r="E126" s="4" t="str">
        <f t="shared" si="9"/>
        <v>Funcionário</v>
      </c>
    </row>
    <row r="127" spans="1:5">
      <c r="A127" s="4" t="str">
        <f t="shared" si="5"/>
        <v>1</v>
      </c>
      <c r="B127" s="4" t="str">
        <f>"ERIKA JULIANA APARECIDA DE OLIVEIRA FARI"</f>
        <v>ERIKA JULIANA APARECIDA DE OLIVEIRA FARI</v>
      </c>
      <c r="C127" s="4" t="str">
        <f>"TECNICO ADM ESPECIALIZADO"</f>
        <v>TECNICO ADM ESPECIALIZADO</v>
      </c>
      <c r="D127" s="5">
        <v>100</v>
      </c>
      <c r="E127" s="4" t="str">
        <f t="shared" si="9"/>
        <v>Funcionário</v>
      </c>
    </row>
    <row r="128" spans="1:5">
      <c r="A128" s="4" t="str">
        <f t="shared" si="5"/>
        <v>1</v>
      </c>
      <c r="B128" s="4" t="str">
        <f>"ESTER DE JESUS MARIANO FELIX"</f>
        <v>ESTER DE JESUS MARIANO FELIX</v>
      </c>
      <c r="C128" s="4" t="str">
        <f>"ANALISTA ESPECIALIZADO"</f>
        <v>ANALISTA ESPECIALIZADO</v>
      </c>
      <c r="D128" s="5">
        <v>100</v>
      </c>
      <c r="E128" s="4" t="str">
        <f t="shared" si="9"/>
        <v>Funcionário</v>
      </c>
    </row>
    <row r="129" spans="1:5">
      <c r="A129" s="4" t="str">
        <f t="shared" si="5"/>
        <v>1</v>
      </c>
      <c r="B129" s="4" t="str">
        <f>"EUMIR VERGARA SALGADO"</f>
        <v>EUMIR VERGARA SALGADO</v>
      </c>
      <c r="C129" s="4" t="str">
        <f>"MILITAR DA ATIVA"</f>
        <v>MILITAR DA ATIVA</v>
      </c>
      <c r="D129" s="5">
        <v>105</v>
      </c>
      <c r="E129" s="4" t="str">
        <f t="shared" si="9"/>
        <v>Funcionário</v>
      </c>
    </row>
    <row r="130" spans="1:5">
      <c r="A130" s="4" t="str">
        <f t="shared" si="5"/>
        <v>1</v>
      </c>
      <c r="B130" s="4" t="str">
        <f>"EVELYN BARBOSA BASTOS"</f>
        <v>EVELYN BARBOSA BASTOS</v>
      </c>
      <c r="C130" s="4" t="str">
        <f>"ANALISTA ESPECIALIZADO"</f>
        <v>ANALISTA ESPECIALIZADO</v>
      </c>
      <c r="D130" s="5">
        <v>100</v>
      </c>
      <c r="E130" s="4" t="str">
        <f t="shared" si="9"/>
        <v>Funcionário</v>
      </c>
    </row>
    <row r="131" spans="1:5">
      <c r="A131" s="4" t="str">
        <f t="shared" ref="A131:A194" si="10">"1"</f>
        <v>1</v>
      </c>
      <c r="B131" s="4" t="str">
        <f>"EVERSON ANTONIO DOS SANTOS"</f>
        <v>EVERSON ANTONIO DOS SANTOS</v>
      </c>
      <c r="C131" s="4" t="str">
        <f>"TEC INDUSTRIAL ESPECIALIZADO"</f>
        <v>TEC INDUSTRIAL ESPECIALIZADO</v>
      </c>
      <c r="D131" s="5">
        <v>100</v>
      </c>
      <c r="E131" s="4" t="str">
        <f>"Aposentado"</f>
        <v>Aposentado</v>
      </c>
    </row>
    <row r="132" spans="1:5">
      <c r="A132" s="4" t="str">
        <f t="shared" si="10"/>
        <v>1</v>
      </c>
      <c r="B132" s="4" t="str">
        <f>"EVERTON LUIZ MACHADO"</f>
        <v>EVERTON LUIZ MACHADO</v>
      </c>
      <c r="C132" s="4" t="str">
        <f>"TEC INDUSTRIAL ESPECIALIZADO"</f>
        <v>TEC INDUSTRIAL ESPECIALIZADO</v>
      </c>
      <c r="D132" s="5">
        <v>100</v>
      </c>
      <c r="E132" s="4" t="str">
        <f t="shared" ref="E132:E147" si="11">"Funcionário"</f>
        <v>Funcionário</v>
      </c>
    </row>
    <row r="133" spans="1:5">
      <c r="A133" s="4" t="str">
        <f t="shared" si="10"/>
        <v>1</v>
      </c>
      <c r="B133" s="4" t="str">
        <f>"EVERTON LUIZ VITAL"</f>
        <v>EVERTON LUIZ VITAL</v>
      </c>
      <c r="C133" s="4" t="str">
        <f>"OFICIAL DE PRODUCAO INDUSTRIAL"</f>
        <v>OFICIAL DE PRODUCAO INDUSTRIAL</v>
      </c>
      <c r="D133" s="5">
        <v>100</v>
      </c>
      <c r="E133" s="4" t="str">
        <f t="shared" si="11"/>
        <v>Funcionário</v>
      </c>
    </row>
    <row r="134" spans="1:5">
      <c r="A134" s="4" t="str">
        <f t="shared" si="10"/>
        <v>1</v>
      </c>
      <c r="B134" s="4" t="str">
        <f>"FABIANA DE ABREU BERNARDO"</f>
        <v>FABIANA DE ABREU BERNARDO</v>
      </c>
      <c r="C134" s="4" t="str">
        <f>"TECNICO ADM ESPECIALIZADO"</f>
        <v>TECNICO ADM ESPECIALIZADO</v>
      </c>
      <c r="D134" s="5">
        <v>100</v>
      </c>
      <c r="E134" s="4" t="str">
        <f t="shared" si="11"/>
        <v>Funcionário</v>
      </c>
    </row>
    <row r="135" spans="1:5">
      <c r="A135" s="4" t="str">
        <f t="shared" si="10"/>
        <v>1</v>
      </c>
      <c r="B135" s="4" t="str">
        <f>"FABIANE INEZ PINTO"</f>
        <v>FABIANE INEZ PINTO</v>
      </c>
      <c r="C135" s="4" t="str">
        <f>"GUARDA DE SEG. PATRIMONIAL"</f>
        <v>GUARDA DE SEG. PATRIMONIAL</v>
      </c>
      <c r="D135" s="5">
        <v>100</v>
      </c>
      <c r="E135" s="4" t="str">
        <f t="shared" si="11"/>
        <v>Funcionário</v>
      </c>
    </row>
    <row r="136" spans="1:5">
      <c r="A136" s="4" t="str">
        <f t="shared" si="10"/>
        <v>1</v>
      </c>
      <c r="B136" s="4" t="str">
        <f>"FABIANO ALCANTARA DE OLIVEIRA"</f>
        <v>FABIANO ALCANTARA DE OLIVEIRA</v>
      </c>
      <c r="C136" s="4" t="str">
        <f>"OFICIAL DE PRODUCAO INDUSTRIAL"</f>
        <v>OFICIAL DE PRODUCAO INDUSTRIAL</v>
      </c>
      <c r="D136" s="5">
        <v>100</v>
      </c>
      <c r="E136" s="4" t="str">
        <f t="shared" si="11"/>
        <v>Funcionário</v>
      </c>
    </row>
    <row r="137" spans="1:5">
      <c r="A137" s="4" t="str">
        <f t="shared" si="10"/>
        <v>1</v>
      </c>
      <c r="B137" s="4" t="str">
        <f>"FABIO CESAR SANTOS DE ASSUNÇÃO"</f>
        <v>FABIO CESAR SANTOS DE ASSUNÇÃO</v>
      </c>
      <c r="C137" s="4" t="str">
        <f>"MILITAR DA ATIVA"</f>
        <v>MILITAR DA ATIVA</v>
      </c>
      <c r="D137" s="5">
        <v>105</v>
      </c>
      <c r="E137" s="4" t="str">
        <f t="shared" si="11"/>
        <v>Funcionário</v>
      </c>
    </row>
    <row r="138" spans="1:5">
      <c r="A138" s="4" t="str">
        <f t="shared" si="10"/>
        <v>1</v>
      </c>
      <c r="B138" s="4" t="str">
        <f>"FABIO HENRIQUE DE CARVALHO SANTOS"</f>
        <v>FABIO HENRIQUE DE CARVALHO SANTOS</v>
      </c>
      <c r="C138" s="4" t="str">
        <f>"OFICIAL DE PRODUCAO INDUSTRIAL"</f>
        <v>OFICIAL DE PRODUCAO INDUSTRIAL</v>
      </c>
      <c r="D138" s="5">
        <v>100</v>
      </c>
      <c r="E138" s="4" t="str">
        <f t="shared" si="11"/>
        <v>Funcionário</v>
      </c>
    </row>
    <row r="139" spans="1:5">
      <c r="A139" s="4" t="str">
        <f t="shared" si="10"/>
        <v>1</v>
      </c>
      <c r="B139" s="4" t="str">
        <f>"FABIO HENRIQUE DE SOUSA REIS"</f>
        <v>FABIO HENRIQUE DE SOUSA REIS</v>
      </c>
      <c r="C139" s="4" t="str">
        <f>"ENGENHEIRO"</f>
        <v>ENGENHEIRO</v>
      </c>
      <c r="D139" s="5">
        <v>100</v>
      </c>
      <c r="E139" s="4" t="str">
        <f t="shared" si="11"/>
        <v>Funcionário</v>
      </c>
    </row>
    <row r="140" spans="1:5">
      <c r="A140" s="4" t="str">
        <f t="shared" si="10"/>
        <v>1</v>
      </c>
      <c r="B140" s="4" t="str">
        <f>"FABIO RAMOS DOS SANTOS ALVES"</f>
        <v>FABIO RAMOS DOS SANTOS ALVES</v>
      </c>
      <c r="C140" s="4" t="str">
        <f>"TEC INDUSTRIAL ESPECIALIZADO"</f>
        <v>TEC INDUSTRIAL ESPECIALIZADO</v>
      </c>
      <c r="D140" s="5">
        <v>100</v>
      </c>
      <c r="E140" s="4" t="str">
        <f t="shared" si="11"/>
        <v>Funcionário</v>
      </c>
    </row>
    <row r="141" spans="1:5">
      <c r="A141" s="4" t="str">
        <f t="shared" si="10"/>
        <v>1</v>
      </c>
      <c r="B141" s="4" t="str">
        <f>"FABRICIO MAURO DAMIAO DOS SANTOS"</f>
        <v>FABRICIO MAURO DAMIAO DOS SANTOS</v>
      </c>
      <c r="C141" s="4" t="str">
        <f>"OFICIAL DE PRODUCAO INDUSTRIAL"</f>
        <v>OFICIAL DE PRODUCAO INDUSTRIAL</v>
      </c>
      <c r="D141" s="5">
        <v>100</v>
      </c>
      <c r="E141" s="4" t="str">
        <f t="shared" si="11"/>
        <v>Funcionário</v>
      </c>
    </row>
    <row r="142" spans="1:5">
      <c r="A142" s="4" t="str">
        <f t="shared" si="10"/>
        <v>1</v>
      </c>
      <c r="B142" s="4" t="str">
        <f>"FELIPE DE CARVALHO LAGE"</f>
        <v>FELIPE DE CARVALHO LAGE</v>
      </c>
      <c r="C142" s="4" t="str">
        <f>"MILITAR DA ATIVA"</f>
        <v>MILITAR DA ATIVA</v>
      </c>
      <c r="D142" s="5">
        <v>105</v>
      </c>
      <c r="E142" s="4" t="str">
        <f t="shared" si="11"/>
        <v>Funcionário</v>
      </c>
    </row>
    <row r="143" spans="1:5">
      <c r="A143" s="4" t="str">
        <f t="shared" si="10"/>
        <v>1</v>
      </c>
      <c r="B143" s="4" t="str">
        <f>"FELIPE DIAS DE CAMARGO"</f>
        <v>FELIPE DIAS DE CAMARGO</v>
      </c>
      <c r="C143" s="4" t="str">
        <f>"TECNICO ADM ESPECIALIZADO"</f>
        <v>TECNICO ADM ESPECIALIZADO</v>
      </c>
      <c r="D143" s="5">
        <v>100</v>
      </c>
      <c r="E143" s="4" t="str">
        <f t="shared" si="11"/>
        <v>Funcionário</v>
      </c>
    </row>
    <row r="144" spans="1:5">
      <c r="A144" s="4" t="str">
        <f t="shared" si="10"/>
        <v>1</v>
      </c>
      <c r="B144" s="4" t="str">
        <f>"FELIPE PIRES MACIEL CANTAO"</f>
        <v>FELIPE PIRES MACIEL CANTAO</v>
      </c>
      <c r="C144" s="4" t="str">
        <f>"TEC INDUSTRIAL ESPECIALIZADO"</f>
        <v>TEC INDUSTRIAL ESPECIALIZADO</v>
      </c>
      <c r="D144" s="5">
        <v>100</v>
      </c>
      <c r="E144" s="4" t="str">
        <f t="shared" si="11"/>
        <v>Funcionário</v>
      </c>
    </row>
    <row r="145" spans="1:5">
      <c r="A145" s="4" t="str">
        <f t="shared" si="10"/>
        <v>1</v>
      </c>
      <c r="B145" s="4" t="str">
        <f>"FERNANDA APARECIDA DOS SANTOS SILVA"</f>
        <v>FERNANDA APARECIDA DOS SANTOS SILVA</v>
      </c>
      <c r="C145" s="4" t="str">
        <f>"ANALISTA ESPECIALIZADO"</f>
        <v>ANALISTA ESPECIALIZADO</v>
      </c>
      <c r="D145" s="5">
        <v>100</v>
      </c>
      <c r="E145" s="4" t="str">
        <f t="shared" si="11"/>
        <v>Funcionário</v>
      </c>
    </row>
    <row r="146" spans="1:5">
      <c r="A146" s="4" t="str">
        <f t="shared" si="10"/>
        <v>1</v>
      </c>
      <c r="B146" s="4" t="str">
        <f>"FERNANDA CRISTINA DA SILVA RODRIGUES"</f>
        <v>FERNANDA CRISTINA DA SILVA RODRIGUES</v>
      </c>
      <c r="C146" s="4" t="str">
        <f>"OFICIAL DE PRODUCAO INDUSTRIAL"</f>
        <v>OFICIAL DE PRODUCAO INDUSTRIAL</v>
      </c>
      <c r="D146" s="5">
        <v>100</v>
      </c>
      <c r="E146" s="4" t="str">
        <f t="shared" si="11"/>
        <v>Funcionário</v>
      </c>
    </row>
    <row r="147" spans="1:5">
      <c r="A147" s="4" t="str">
        <f t="shared" si="10"/>
        <v>1</v>
      </c>
      <c r="B147" s="4" t="str">
        <f>"FERNANDO AQUINO DE AZEVEDO"</f>
        <v>FERNANDO AQUINO DE AZEVEDO</v>
      </c>
      <c r="C147" s="4" t="str">
        <f>"OFICIAL DE PRODUCAO INDUSTRIAL"</f>
        <v>OFICIAL DE PRODUCAO INDUSTRIAL</v>
      </c>
      <c r="D147" s="5">
        <v>100</v>
      </c>
      <c r="E147" s="4" t="str">
        <f t="shared" si="11"/>
        <v>Funcionário</v>
      </c>
    </row>
    <row r="148" spans="1:5">
      <c r="A148" s="4" t="str">
        <f t="shared" si="10"/>
        <v>1</v>
      </c>
      <c r="B148" s="4" t="str">
        <f>"FERNANDO CHAGAS"</f>
        <v>FERNANDO CHAGAS</v>
      </c>
      <c r="C148" s="4" t="str">
        <f>"TECNICO ADM ESPECIALIZADO"</f>
        <v>TECNICO ADM ESPECIALIZADO</v>
      </c>
      <c r="D148" s="5">
        <v>100</v>
      </c>
      <c r="E148" s="4" t="str">
        <f>"Aposentado"</f>
        <v>Aposentado</v>
      </c>
    </row>
    <row r="149" spans="1:5">
      <c r="A149" s="4" t="str">
        <f t="shared" si="10"/>
        <v>1</v>
      </c>
      <c r="B149" s="4" t="str">
        <f>"FERNANDO LUIZ ROSA"</f>
        <v>FERNANDO LUIZ ROSA</v>
      </c>
      <c r="C149" s="4" t="str">
        <f>"ENGENHEIRO"</f>
        <v>ENGENHEIRO</v>
      </c>
      <c r="D149" s="5">
        <v>100</v>
      </c>
      <c r="E149" s="4" t="str">
        <f>"Funcionário"</f>
        <v>Funcionário</v>
      </c>
    </row>
    <row r="150" spans="1:5">
      <c r="A150" s="4" t="str">
        <f t="shared" si="10"/>
        <v>1</v>
      </c>
      <c r="B150" s="4" t="str">
        <f>"FERNANDO VICENTE"</f>
        <v>FERNANDO VICENTE</v>
      </c>
      <c r="C150" s="4" t="str">
        <f>"OFICIAL DE PRODUCAO INDUSTRIAL"</f>
        <v>OFICIAL DE PRODUCAO INDUSTRIAL</v>
      </c>
      <c r="D150" s="5">
        <v>100</v>
      </c>
      <c r="E150" s="4" t="str">
        <f>"Aposentado"</f>
        <v>Aposentado</v>
      </c>
    </row>
    <row r="151" spans="1:5">
      <c r="A151" s="4" t="str">
        <f t="shared" si="10"/>
        <v>1</v>
      </c>
      <c r="B151" s="4" t="str">
        <f>"FILIPE DA NOBREGA PEREIRA"</f>
        <v>FILIPE DA NOBREGA PEREIRA</v>
      </c>
      <c r="C151" s="4" t="str">
        <f>"AUXILIAR TECNICO INDUSTRIAL"</f>
        <v>AUXILIAR TECNICO INDUSTRIAL</v>
      </c>
      <c r="D151" s="5">
        <v>100</v>
      </c>
      <c r="E151" s="4" t="str">
        <f t="shared" ref="E151:E156" si="12">"Funcionário"</f>
        <v>Funcionário</v>
      </c>
    </row>
    <row r="152" spans="1:5">
      <c r="A152" s="4" t="str">
        <f t="shared" si="10"/>
        <v>1</v>
      </c>
      <c r="B152" s="4" t="str">
        <f>"FLAVIANE LIMA DE JESUS DA SILVA DE PINA"</f>
        <v>FLAVIANE LIMA DE JESUS DA SILVA DE PINA</v>
      </c>
      <c r="C152" s="4" t="str">
        <f>"OFICIAL DE PRODUCAO INDUSTRIAL"</f>
        <v>OFICIAL DE PRODUCAO INDUSTRIAL</v>
      </c>
      <c r="D152" s="5">
        <v>100</v>
      </c>
      <c r="E152" s="4" t="str">
        <f t="shared" si="12"/>
        <v>Funcionário</v>
      </c>
    </row>
    <row r="153" spans="1:5">
      <c r="A153" s="4" t="str">
        <f t="shared" si="10"/>
        <v>1</v>
      </c>
      <c r="B153" s="4" t="str">
        <f>"FLAVIANE NIVEA DA SILVA DIAS"</f>
        <v>FLAVIANE NIVEA DA SILVA DIAS</v>
      </c>
      <c r="C153" s="4" t="str">
        <f>"AUX TECNICO ADMINISTRATIVO"</f>
        <v>AUX TECNICO ADMINISTRATIVO</v>
      </c>
      <c r="D153" s="5">
        <v>100</v>
      </c>
      <c r="E153" s="4" t="str">
        <f t="shared" si="12"/>
        <v>Funcionário</v>
      </c>
    </row>
    <row r="154" spans="1:5">
      <c r="A154" s="4" t="str">
        <f t="shared" si="10"/>
        <v>1</v>
      </c>
      <c r="B154" s="4" t="str">
        <f>"FLAVIO CESAR DA SILVA"</f>
        <v>FLAVIO CESAR DA SILVA</v>
      </c>
      <c r="C154" s="4" t="str">
        <f>"OFICIAL DE PRODUCAO INDUSTRIAL"</f>
        <v>OFICIAL DE PRODUCAO INDUSTRIAL</v>
      </c>
      <c r="D154" s="5">
        <v>100</v>
      </c>
      <c r="E154" s="4" t="str">
        <f t="shared" si="12"/>
        <v>Funcionário</v>
      </c>
    </row>
    <row r="155" spans="1:5">
      <c r="A155" s="4" t="str">
        <f t="shared" si="10"/>
        <v>1</v>
      </c>
      <c r="B155" s="4" t="str">
        <f>"FRANCINE RIBEIRO FERREIRA LEAL"</f>
        <v>FRANCINE RIBEIRO FERREIRA LEAL</v>
      </c>
      <c r="C155" s="4" t="str">
        <f>"OFICIAL DE PRODUCAO INDUSTRIAL"</f>
        <v>OFICIAL DE PRODUCAO INDUSTRIAL</v>
      </c>
      <c r="D155" s="5">
        <v>100</v>
      </c>
      <c r="E155" s="4" t="str">
        <f t="shared" si="12"/>
        <v>Funcionário</v>
      </c>
    </row>
    <row r="156" spans="1:5">
      <c r="A156" s="4" t="str">
        <f t="shared" si="10"/>
        <v>1</v>
      </c>
      <c r="B156" s="4" t="str">
        <f>"FRANCINI RIBEIRO DOS SANTOS"</f>
        <v>FRANCINI RIBEIRO DOS SANTOS</v>
      </c>
      <c r="C156" s="4" t="str">
        <f>"OFICIAL DE PRODUCAO INDUSTRIAL"</f>
        <v>OFICIAL DE PRODUCAO INDUSTRIAL</v>
      </c>
      <c r="D156" s="5">
        <v>100</v>
      </c>
      <c r="E156" s="4" t="str">
        <f t="shared" si="12"/>
        <v>Funcionário</v>
      </c>
    </row>
    <row r="157" spans="1:5">
      <c r="A157" s="4" t="str">
        <f t="shared" si="10"/>
        <v>1</v>
      </c>
      <c r="B157" s="4" t="str">
        <f>"FRANCISCO CARLOS CARVALHO"</f>
        <v>FRANCISCO CARLOS CARVALHO</v>
      </c>
      <c r="C157" s="4" t="str">
        <f>"OFICIAL DE PRODUCAO INDUSTRIAL"</f>
        <v>OFICIAL DE PRODUCAO INDUSTRIAL</v>
      </c>
      <c r="D157" s="5">
        <v>100</v>
      </c>
      <c r="E157" s="4" t="str">
        <f>"Aposentado"</f>
        <v>Aposentado</v>
      </c>
    </row>
    <row r="158" spans="1:5">
      <c r="A158" s="4" t="str">
        <f t="shared" si="10"/>
        <v>1</v>
      </c>
      <c r="B158" s="4" t="str">
        <f>"FRANCISCO DA FONSECA MACHADO"</f>
        <v>FRANCISCO DA FONSECA MACHADO</v>
      </c>
      <c r="C158" s="4" t="str">
        <f>"AGENTE DE APOIO OPERACIONAL"</f>
        <v>AGENTE DE APOIO OPERACIONAL</v>
      </c>
      <c r="D158" s="5">
        <v>100</v>
      </c>
      <c r="E158" s="4" t="str">
        <f>"Aposentado"</f>
        <v>Aposentado</v>
      </c>
    </row>
    <row r="159" spans="1:5">
      <c r="A159" s="4" t="str">
        <f t="shared" si="10"/>
        <v>1</v>
      </c>
      <c r="B159" s="4" t="str">
        <f>"FRANCISCO DE ASSIS SANTOS"</f>
        <v>FRANCISCO DE ASSIS SANTOS</v>
      </c>
      <c r="C159" s="4" t="str">
        <f>"OFICIAL DE PRODUCAO INDUSTRIAL"</f>
        <v>OFICIAL DE PRODUCAO INDUSTRIAL</v>
      </c>
      <c r="D159" s="5">
        <v>100</v>
      </c>
      <c r="E159" s="4" t="str">
        <f>"Funcionário"</f>
        <v>Funcionário</v>
      </c>
    </row>
    <row r="160" spans="1:5">
      <c r="A160" s="4" t="str">
        <f t="shared" si="10"/>
        <v>1</v>
      </c>
      <c r="B160" s="4" t="str">
        <f>"FRANCISCO JOSE BEVILACQUA MARCONDES"</f>
        <v>FRANCISCO JOSE BEVILACQUA MARCONDES</v>
      </c>
      <c r="C160" s="4" t="str">
        <f>"TEC INDUSTRIAL ESPECIALIZADO"</f>
        <v>TEC INDUSTRIAL ESPECIALIZADO</v>
      </c>
      <c r="D160" s="5">
        <v>100</v>
      </c>
      <c r="E160" s="4" t="str">
        <f>"Aposentado"</f>
        <v>Aposentado</v>
      </c>
    </row>
    <row r="161" spans="1:5">
      <c r="A161" s="4" t="str">
        <f t="shared" si="10"/>
        <v>1</v>
      </c>
      <c r="B161" s="4" t="str">
        <f>"FREDERICO NOGUEIRA FERREIRA SILVA"</f>
        <v>FREDERICO NOGUEIRA FERREIRA SILVA</v>
      </c>
      <c r="C161" s="4" t="str">
        <f>"OFICIAL DE PRODUCAO INDUSTRIAL"</f>
        <v>OFICIAL DE PRODUCAO INDUSTRIAL</v>
      </c>
      <c r="D161" s="5">
        <v>100</v>
      </c>
      <c r="E161" s="4" t="str">
        <f t="shared" ref="E161:E167" si="13">"Funcionário"</f>
        <v>Funcionário</v>
      </c>
    </row>
    <row r="162" spans="1:5">
      <c r="A162" s="4" t="str">
        <f t="shared" si="10"/>
        <v>1</v>
      </c>
      <c r="B162" s="4" t="str">
        <f>"GABRIEL AUGUSTO DOS SANTOS DA ROSA"</f>
        <v>GABRIEL AUGUSTO DOS SANTOS DA ROSA</v>
      </c>
      <c r="C162" s="4" t="str">
        <f>"OFICIAL DE PRODUCAO INDUSTRIAL"</f>
        <v>OFICIAL DE PRODUCAO INDUSTRIAL</v>
      </c>
      <c r="D162" s="5">
        <v>100</v>
      </c>
      <c r="E162" s="4" t="str">
        <f t="shared" si="13"/>
        <v>Funcionário</v>
      </c>
    </row>
    <row r="163" spans="1:5">
      <c r="A163" s="4" t="str">
        <f t="shared" si="10"/>
        <v>1</v>
      </c>
      <c r="B163" s="4" t="str">
        <f>"GABRIEL BARBOZA DE SIQUEIRA"</f>
        <v>GABRIEL BARBOZA DE SIQUEIRA</v>
      </c>
      <c r="C163" s="4" t="str">
        <f>"OFICIAL DE PRODUCAO INDUSTRIAL"</f>
        <v>OFICIAL DE PRODUCAO INDUSTRIAL</v>
      </c>
      <c r="D163" s="5">
        <v>100</v>
      </c>
      <c r="E163" s="4" t="str">
        <f t="shared" si="13"/>
        <v>Funcionário</v>
      </c>
    </row>
    <row r="164" spans="1:5">
      <c r="A164" s="4" t="str">
        <f t="shared" si="10"/>
        <v>1</v>
      </c>
      <c r="B164" s="4" t="str">
        <f>"GABRIEL PELLEGRINO"</f>
        <v>GABRIEL PELLEGRINO</v>
      </c>
      <c r="C164" s="4" t="str">
        <f>"MILITAR DA ATIVA"</f>
        <v>MILITAR DA ATIVA</v>
      </c>
      <c r="D164" s="5">
        <v>105</v>
      </c>
      <c r="E164" s="4" t="str">
        <f t="shared" si="13"/>
        <v>Funcionário</v>
      </c>
    </row>
    <row r="165" spans="1:5">
      <c r="A165" s="4" t="str">
        <f t="shared" si="10"/>
        <v>1</v>
      </c>
      <c r="B165" s="4" t="str">
        <f>"GABRIELA MARIA NOGUEIRA RIBEIRO"</f>
        <v>GABRIELA MARIA NOGUEIRA RIBEIRO</v>
      </c>
      <c r="C165" s="4" t="str">
        <f>"OFICIAL DE PRODUCAO INDUSTRIAL"</f>
        <v>OFICIAL DE PRODUCAO INDUSTRIAL</v>
      </c>
      <c r="D165" s="5">
        <v>100</v>
      </c>
      <c r="E165" s="4" t="str">
        <f t="shared" si="13"/>
        <v>Funcionário</v>
      </c>
    </row>
    <row r="166" spans="1:5">
      <c r="A166" s="4" t="str">
        <f t="shared" si="10"/>
        <v>1</v>
      </c>
      <c r="B166" s="4" t="str">
        <f>"GELSON DE OLIVEIRA FARIA"</f>
        <v>GELSON DE OLIVEIRA FARIA</v>
      </c>
      <c r="C166" s="4" t="str">
        <f>"OFICIAL DE PRODUCAO INDUSTRIAL"</f>
        <v>OFICIAL DE PRODUCAO INDUSTRIAL</v>
      </c>
      <c r="D166" s="5">
        <v>100</v>
      </c>
      <c r="E166" s="4" t="str">
        <f t="shared" si="13"/>
        <v>Funcionário</v>
      </c>
    </row>
    <row r="167" spans="1:5">
      <c r="A167" s="4" t="str">
        <f t="shared" si="10"/>
        <v>1</v>
      </c>
      <c r="B167" s="4" t="str">
        <f>"GERALDO CORREIA DA CRUZ JUNIOR"</f>
        <v>GERALDO CORREIA DA CRUZ JUNIOR</v>
      </c>
      <c r="C167" s="4" t="str">
        <f>"TEC INDUSTRIAL ESPECIALIZADO"</f>
        <v>TEC INDUSTRIAL ESPECIALIZADO</v>
      </c>
      <c r="D167" s="5">
        <v>100</v>
      </c>
      <c r="E167" s="4" t="str">
        <f t="shared" si="13"/>
        <v>Funcionário</v>
      </c>
    </row>
    <row r="168" spans="1:5">
      <c r="A168" s="4" t="str">
        <f t="shared" si="10"/>
        <v>1</v>
      </c>
      <c r="B168" s="4" t="str">
        <f>"GILBERTO CARLOS SILVA"</f>
        <v>GILBERTO CARLOS SILVA</v>
      </c>
      <c r="C168" s="4" t="str">
        <f>"AUXILIAR TECNICO INDUSTRIAL"</f>
        <v>AUXILIAR TECNICO INDUSTRIAL</v>
      </c>
      <c r="D168" s="5">
        <v>100</v>
      </c>
      <c r="E168" s="4" t="str">
        <f>"Aposentado"</f>
        <v>Aposentado</v>
      </c>
    </row>
    <row r="169" spans="1:5">
      <c r="A169" s="4" t="str">
        <f t="shared" si="10"/>
        <v>1</v>
      </c>
      <c r="B169" s="4" t="str">
        <f>"GILMAR PINTO DA SILVA"</f>
        <v>GILMAR PINTO DA SILVA</v>
      </c>
      <c r="C169" s="4" t="str">
        <f>"AUX TECNICO ADMINISTRATIVO"</f>
        <v>AUX TECNICO ADMINISTRATIVO</v>
      </c>
      <c r="D169" s="5">
        <v>100</v>
      </c>
      <c r="E169" s="4" t="str">
        <f>"Aposentado"</f>
        <v>Aposentado</v>
      </c>
    </row>
    <row r="170" spans="1:5">
      <c r="A170" s="4" t="str">
        <f t="shared" si="10"/>
        <v>1</v>
      </c>
      <c r="B170" s="4" t="str">
        <f>"GILVAN PEREIRA FURTADO"</f>
        <v>GILVAN PEREIRA FURTADO</v>
      </c>
      <c r="C170" s="4" t="str">
        <f>"TEC INDUSTRIAL ESPECIALIZADO"</f>
        <v>TEC INDUSTRIAL ESPECIALIZADO</v>
      </c>
      <c r="D170" s="5">
        <v>100</v>
      </c>
      <c r="E170" s="4" t="str">
        <f>"Aposentado"</f>
        <v>Aposentado</v>
      </c>
    </row>
    <row r="171" spans="1:5">
      <c r="A171" s="4" t="str">
        <f t="shared" si="10"/>
        <v>1</v>
      </c>
      <c r="B171" s="4" t="str">
        <f>"GINO CELSO DE AZEVEDO"</f>
        <v>GINO CELSO DE AZEVEDO</v>
      </c>
      <c r="C171" s="4" t="str">
        <f>"OFICIAL DE PRODUCAO INDUSTRIAL"</f>
        <v>OFICIAL DE PRODUCAO INDUSTRIAL</v>
      </c>
      <c r="D171" s="5">
        <v>100</v>
      </c>
      <c r="E171" s="4" t="str">
        <f t="shared" ref="E171:E188" si="14">"Funcionário"</f>
        <v>Funcionário</v>
      </c>
    </row>
    <row r="172" spans="1:5">
      <c r="A172" s="4" t="str">
        <f t="shared" si="10"/>
        <v>1</v>
      </c>
      <c r="B172" s="4" t="str">
        <f>"GIOVANNI ANDREAS OLIVEIRA"</f>
        <v>GIOVANNI ANDREAS OLIVEIRA</v>
      </c>
      <c r="C172" s="4" t="str">
        <f>"TEC INDUSTRIAL ESPECIALIZADO"</f>
        <v>TEC INDUSTRIAL ESPECIALIZADO</v>
      </c>
      <c r="D172" s="5">
        <v>100</v>
      </c>
      <c r="E172" s="4" t="str">
        <f t="shared" si="14"/>
        <v>Funcionário</v>
      </c>
    </row>
    <row r="173" spans="1:5">
      <c r="A173" s="4" t="str">
        <f t="shared" si="10"/>
        <v>1</v>
      </c>
      <c r="B173" s="4" t="str">
        <f>"GISELE DINIZ DA ROCHA SILVA OLIVEIRA"</f>
        <v>GISELE DINIZ DA ROCHA SILVA OLIVEIRA</v>
      </c>
      <c r="C173" s="4" t="str">
        <f>"ANALISTA ESPECIALIZADO"</f>
        <v>ANALISTA ESPECIALIZADO</v>
      </c>
      <c r="D173" s="5">
        <v>100</v>
      </c>
      <c r="E173" s="4" t="str">
        <f t="shared" si="14"/>
        <v>Funcionário</v>
      </c>
    </row>
    <row r="174" spans="1:5">
      <c r="A174" s="4" t="str">
        <f t="shared" si="10"/>
        <v>1</v>
      </c>
      <c r="B174" s="4" t="str">
        <f>"GIULIANO HENRIQUE AMANCIO SILVA"</f>
        <v>GIULIANO HENRIQUE AMANCIO SILVA</v>
      </c>
      <c r="C174" s="4" t="str">
        <f>"OFICIAL DE PRODUCAO INDUSTRIAL"</f>
        <v>OFICIAL DE PRODUCAO INDUSTRIAL</v>
      </c>
      <c r="D174" s="5">
        <v>100</v>
      </c>
      <c r="E174" s="4" t="str">
        <f t="shared" si="14"/>
        <v>Funcionário</v>
      </c>
    </row>
    <row r="175" spans="1:5">
      <c r="A175" s="4" t="str">
        <f t="shared" si="10"/>
        <v>1</v>
      </c>
      <c r="B175" s="4" t="str">
        <f>"GIVANILDO BARBOSA DA SILVA"</f>
        <v>GIVANILDO BARBOSA DA SILVA</v>
      </c>
      <c r="C175" s="4" t="str">
        <f>"OFICIAL DE PRODUCAO INDUSTRIAL"</f>
        <v>OFICIAL DE PRODUCAO INDUSTRIAL</v>
      </c>
      <c r="D175" s="5">
        <v>100</v>
      </c>
      <c r="E175" s="4" t="str">
        <f t="shared" si="14"/>
        <v>Funcionário</v>
      </c>
    </row>
    <row r="176" spans="1:5">
      <c r="A176" s="4" t="str">
        <f t="shared" si="10"/>
        <v>1</v>
      </c>
      <c r="B176" s="4" t="str">
        <f>"GRACIELA DE FREITAS RIBEIRO"</f>
        <v>GRACIELA DE FREITAS RIBEIRO</v>
      </c>
      <c r="C176" s="4" t="str">
        <f>"AUX TECNICO ADMINISTRATIVO"</f>
        <v>AUX TECNICO ADMINISTRATIVO</v>
      </c>
      <c r="D176" s="5">
        <v>100</v>
      </c>
      <c r="E176" s="4" t="str">
        <f t="shared" si="14"/>
        <v>Funcionário</v>
      </c>
    </row>
    <row r="177" spans="1:5">
      <c r="A177" s="4" t="str">
        <f t="shared" si="10"/>
        <v>1</v>
      </c>
      <c r="B177" s="4" t="str">
        <f>"GUILHERME ALDEIA DE SOUZA"</f>
        <v>GUILHERME ALDEIA DE SOUZA</v>
      </c>
      <c r="C177" s="4" t="str">
        <f>"ANALISTA ESPECIALIZADO"</f>
        <v>ANALISTA ESPECIALIZADO</v>
      </c>
      <c r="D177" s="5">
        <v>100</v>
      </c>
      <c r="E177" s="4" t="str">
        <f t="shared" si="14"/>
        <v>Funcionário</v>
      </c>
    </row>
    <row r="178" spans="1:5">
      <c r="A178" s="4" t="str">
        <f t="shared" si="10"/>
        <v>1</v>
      </c>
      <c r="B178" s="4" t="str">
        <f>"GUILHERME ALVES DE TOLEDO"</f>
        <v>GUILHERME ALVES DE TOLEDO</v>
      </c>
      <c r="C178" s="4" t="str">
        <f>"OFICIAL DE PRODUCAO INDUSTRIAL"</f>
        <v>OFICIAL DE PRODUCAO INDUSTRIAL</v>
      </c>
      <c r="D178" s="5">
        <v>100</v>
      </c>
      <c r="E178" s="4" t="str">
        <f t="shared" si="14"/>
        <v>Funcionário</v>
      </c>
    </row>
    <row r="179" spans="1:5">
      <c r="A179" s="4" t="str">
        <f t="shared" si="10"/>
        <v>1</v>
      </c>
      <c r="B179" s="4" t="str">
        <f>"GUILHERME CORNACCINI MOREIRA"</f>
        <v>GUILHERME CORNACCINI MOREIRA</v>
      </c>
      <c r="C179" s="4" t="str">
        <f>"ENGENHEIRO"</f>
        <v>ENGENHEIRO</v>
      </c>
      <c r="D179" s="5">
        <v>100</v>
      </c>
      <c r="E179" s="4" t="str">
        <f t="shared" si="14"/>
        <v>Funcionário</v>
      </c>
    </row>
    <row r="180" spans="1:5">
      <c r="A180" s="4" t="str">
        <f t="shared" si="10"/>
        <v>1</v>
      </c>
      <c r="B180" s="4" t="str">
        <f>"GUILHERME DA SILVA RIBEIRO MARTINS"</f>
        <v>GUILHERME DA SILVA RIBEIRO MARTINS</v>
      </c>
      <c r="C180" s="4" t="str">
        <f>"TECNICO ADM ESPECIALIZADO"</f>
        <v>TECNICO ADM ESPECIALIZADO</v>
      </c>
      <c r="D180" s="5">
        <v>100</v>
      </c>
      <c r="E180" s="4" t="str">
        <f t="shared" si="14"/>
        <v>Funcionário</v>
      </c>
    </row>
    <row r="181" spans="1:5">
      <c r="A181" s="4" t="str">
        <f t="shared" si="10"/>
        <v>1</v>
      </c>
      <c r="B181" s="4" t="str">
        <f>"GUILHERME MATTOS DE ARAUJO"</f>
        <v>GUILHERME MATTOS DE ARAUJO</v>
      </c>
      <c r="C181" s="4" t="str">
        <f>"ENGENHEIRO"</f>
        <v>ENGENHEIRO</v>
      </c>
      <c r="D181" s="5">
        <v>100</v>
      </c>
      <c r="E181" s="4" t="str">
        <f t="shared" si="14"/>
        <v>Funcionário</v>
      </c>
    </row>
    <row r="182" spans="1:5">
      <c r="A182" s="4" t="str">
        <f t="shared" si="10"/>
        <v>1</v>
      </c>
      <c r="B182" s="4" t="str">
        <f>"GUSTAVO GUEDES ZINANI"</f>
        <v>GUSTAVO GUEDES ZINANI</v>
      </c>
      <c r="C182" s="4" t="str">
        <f>"ENGENHEIRO"</f>
        <v>ENGENHEIRO</v>
      </c>
      <c r="D182" s="5">
        <v>100</v>
      </c>
      <c r="E182" s="4" t="str">
        <f t="shared" si="14"/>
        <v>Funcionário</v>
      </c>
    </row>
    <row r="183" spans="1:5">
      <c r="A183" s="4" t="str">
        <f t="shared" si="10"/>
        <v>1</v>
      </c>
      <c r="B183" s="4" t="str">
        <f>"GUSTAVO LUIZ DE SOUZA LESCURA"</f>
        <v>GUSTAVO LUIZ DE SOUZA LESCURA</v>
      </c>
      <c r="C183" s="4" t="str">
        <f>"TEC INDUSTRIAL ESPECIALIZADO"</f>
        <v>TEC INDUSTRIAL ESPECIALIZADO</v>
      </c>
      <c r="D183" s="5">
        <v>100</v>
      </c>
      <c r="E183" s="4" t="str">
        <f t="shared" si="14"/>
        <v>Funcionário</v>
      </c>
    </row>
    <row r="184" spans="1:5">
      <c r="A184" s="4" t="str">
        <f t="shared" si="10"/>
        <v>1</v>
      </c>
      <c r="B184" s="4" t="str">
        <f>"GUSTAVO SILVEIRA MADURO"</f>
        <v>GUSTAVO SILVEIRA MADURO</v>
      </c>
      <c r="C184" s="4" t="str">
        <f>"ANALISTA ESPECIALIZADO"</f>
        <v>ANALISTA ESPECIALIZADO</v>
      </c>
      <c r="D184" s="5">
        <v>100</v>
      </c>
      <c r="E184" s="4" t="str">
        <f t="shared" si="14"/>
        <v>Funcionário</v>
      </c>
    </row>
    <row r="185" spans="1:5">
      <c r="A185" s="4" t="str">
        <f t="shared" si="10"/>
        <v>1</v>
      </c>
      <c r="B185" s="4" t="str">
        <f>"HAMILTON DOS SANTOS OLIVEIRA"</f>
        <v>HAMILTON DOS SANTOS OLIVEIRA</v>
      </c>
      <c r="C185" s="4" t="str">
        <f>"OFICIAL DE PRODUCAO INDUSTRIAL"</f>
        <v>OFICIAL DE PRODUCAO INDUSTRIAL</v>
      </c>
      <c r="D185" s="5">
        <v>100</v>
      </c>
      <c r="E185" s="4" t="str">
        <f t="shared" si="14"/>
        <v>Funcionário</v>
      </c>
    </row>
    <row r="186" spans="1:5">
      <c r="A186" s="4" t="str">
        <f t="shared" si="10"/>
        <v>1</v>
      </c>
      <c r="B186" s="4" t="str">
        <f>"HENRIQUE MAZIERO NETO"</f>
        <v>HENRIQUE MAZIERO NETO</v>
      </c>
      <c r="C186" s="4" t="str">
        <f>"OFICIAL DE PRODUCAO INDUSTRIAL"</f>
        <v>OFICIAL DE PRODUCAO INDUSTRIAL</v>
      </c>
      <c r="D186" s="5">
        <v>100</v>
      </c>
      <c r="E186" s="4" t="str">
        <f t="shared" si="14"/>
        <v>Funcionário</v>
      </c>
    </row>
    <row r="187" spans="1:5">
      <c r="A187" s="4" t="str">
        <f t="shared" si="10"/>
        <v>1</v>
      </c>
      <c r="B187" s="4" t="str">
        <f>"HERACLITO MENDES DA COSTA JUNIOR"</f>
        <v>HERACLITO MENDES DA COSTA JUNIOR</v>
      </c>
      <c r="C187" s="4" t="str">
        <f>"TEC INDUSTRIAL ESPECIALIZADO"</f>
        <v>TEC INDUSTRIAL ESPECIALIZADO</v>
      </c>
      <c r="D187" s="5">
        <v>100</v>
      </c>
      <c r="E187" s="4" t="str">
        <f t="shared" si="14"/>
        <v>Funcionário</v>
      </c>
    </row>
    <row r="188" spans="1:5">
      <c r="A188" s="4" t="str">
        <f t="shared" si="10"/>
        <v>1</v>
      </c>
      <c r="B188" s="4" t="str">
        <f>"IVONALDO JUSTINO GONCALVES"</f>
        <v>IVONALDO JUSTINO GONCALVES</v>
      </c>
      <c r="C188" s="4" t="str">
        <f>"AUXILIAR TECNICO INDUSTRIAL"</f>
        <v>AUXILIAR TECNICO INDUSTRIAL</v>
      </c>
      <c r="D188" s="5">
        <v>100</v>
      </c>
      <c r="E188" s="4" t="str">
        <f t="shared" si="14"/>
        <v>Funcionário</v>
      </c>
    </row>
    <row r="189" spans="1:5">
      <c r="A189" s="4" t="str">
        <f t="shared" si="10"/>
        <v>1</v>
      </c>
      <c r="B189" s="4" t="str">
        <f>"JAIME DA FONSECA ABREU"</f>
        <v>JAIME DA FONSECA ABREU</v>
      </c>
      <c r="C189" s="4" t="str">
        <f>"OFICIAL DE PRODUCAO INDUSTRIAL"</f>
        <v>OFICIAL DE PRODUCAO INDUSTRIAL</v>
      </c>
      <c r="D189" s="5">
        <v>100</v>
      </c>
      <c r="E189" s="4" t="str">
        <f>"Aposentado"</f>
        <v>Aposentado</v>
      </c>
    </row>
    <row r="190" spans="1:5">
      <c r="A190" s="4" t="str">
        <f t="shared" si="10"/>
        <v>1</v>
      </c>
      <c r="B190" s="4" t="str">
        <f>"JANDERSON RANNIERE FERNANDES DE SOUZA"</f>
        <v>JANDERSON RANNIERE FERNANDES DE SOUZA</v>
      </c>
      <c r="C190" s="4" t="str">
        <f>"AUXILIAR TECNICO INDUSTRIAL"</f>
        <v>AUXILIAR TECNICO INDUSTRIAL</v>
      </c>
      <c r="D190" s="5">
        <v>100</v>
      </c>
      <c r="E190" s="4" t="str">
        <f t="shared" ref="E190:E197" si="15">"Funcionário"</f>
        <v>Funcionário</v>
      </c>
    </row>
    <row r="191" spans="1:5">
      <c r="A191" s="4" t="str">
        <f t="shared" si="10"/>
        <v>1</v>
      </c>
      <c r="B191" s="4" t="str">
        <f>"JANE APARECIDA VIEIRA DA SILVA PINTO"</f>
        <v>JANE APARECIDA VIEIRA DA SILVA PINTO</v>
      </c>
      <c r="C191" s="4" t="str">
        <f>"TECNICO ADM ESPECIALIZADO"</f>
        <v>TECNICO ADM ESPECIALIZADO</v>
      </c>
      <c r="D191" s="5">
        <v>100</v>
      </c>
      <c r="E191" s="4" t="str">
        <f t="shared" si="15"/>
        <v>Funcionário</v>
      </c>
    </row>
    <row r="192" spans="1:5">
      <c r="A192" s="4" t="str">
        <f t="shared" si="10"/>
        <v>1</v>
      </c>
      <c r="B192" s="4" t="str">
        <f>"JAQUES DE SOUZA MARIANO"</f>
        <v>JAQUES DE SOUZA MARIANO</v>
      </c>
      <c r="C192" s="4" t="str">
        <f>"OFICIAL DE PRODUCAO INDUSTRIAL"</f>
        <v>OFICIAL DE PRODUCAO INDUSTRIAL</v>
      </c>
      <c r="D192" s="5">
        <v>100</v>
      </c>
      <c r="E192" s="4" t="str">
        <f t="shared" si="15"/>
        <v>Funcionário</v>
      </c>
    </row>
    <row r="193" spans="1:5">
      <c r="A193" s="4" t="str">
        <f t="shared" si="10"/>
        <v>1</v>
      </c>
      <c r="B193" s="4" t="str">
        <f>"JEAN ROBERTO NOGUEIRA MARTON"</f>
        <v>JEAN ROBERTO NOGUEIRA MARTON</v>
      </c>
      <c r="C193" s="4" t="str">
        <f>"OFICIAL DE PRODUCAO INDUSTRIAL"</f>
        <v>OFICIAL DE PRODUCAO INDUSTRIAL</v>
      </c>
      <c r="D193" s="5">
        <v>100</v>
      </c>
      <c r="E193" s="4" t="str">
        <f t="shared" si="15"/>
        <v>Funcionário</v>
      </c>
    </row>
    <row r="194" spans="1:5">
      <c r="A194" s="4" t="str">
        <f t="shared" si="10"/>
        <v>1</v>
      </c>
      <c r="B194" s="4" t="str">
        <f>"JEFERSON LUCHESI"</f>
        <v>JEFERSON LUCHESI</v>
      </c>
      <c r="C194" s="4" t="str">
        <f>"ENGENHEIRO"</f>
        <v>ENGENHEIRO</v>
      </c>
      <c r="D194" s="5">
        <v>100</v>
      </c>
      <c r="E194" s="4" t="str">
        <f t="shared" si="15"/>
        <v>Funcionário</v>
      </c>
    </row>
    <row r="195" spans="1:5">
      <c r="A195" s="4" t="str">
        <f t="shared" ref="A195:A258" si="16">"1"</f>
        <v>1</v>
      </c>
      <c r="B195" s="4" t="str">
        <f>"JEFFERSON CARVALHO DA SILVA"</f>
        <v>JEFFERSON CARVALHO DA SILVA</v>
      </c>
      <c r="C195" s="4" t="str">
        <f>"OFICIAL DE PRODUCAO INDUSTRIAL"</f>
        <v>OFICIAL DE PRODUCAO INDUSTRIAL</v>
      </c>
      <c r="D195" s="5">
        <v>100</v>
      </c>
      <c r="E195" s="4" t="str">
        <f t="shared" si="15"/>
        <v>Funcionário</v>
      </c>
    </row>
    <row r="196" spans="1:5">
      <c r="A196" s="4" t="str">
        <f t="shared" si="16"/>
        <v>1</v>
      </c>
      <c r="B196" s="4" t="str">
        <f>"JENELSON DOS SANTOS"</f>
        <v>JENELSON DOS SANTOS</v>
      </c>
      <c r="C196" s="4" t="str">
        <f>"OFICIAL DE PRODUCAO INDUSTRIAL"</f>
        <v>OFICIAL DE PRODUCAO INDUSTRIAL</v>
      </c>
      <c r="D196" s="5">
        <v>100</v>
      </c>
      <c r="E196" s="4" t="str">
        <f t="shared" si="15"/>
        <v>Funcionário</v>
      </c>
    </row>
    <row r="197" spans="1:5">
      <c r="A197" s="4" t="str">
        <f t="shared" si="16"/>
        <v>1</v>
      </c>
      <c r="B197" s="4" t="str">
        <f>"JOAO BATISTA ALCANTARA DE OLIVEIRA"</f>
        <v>JOAO BATISTA ALCANTARA DE OLIVEIRA</v>
      </c>
      <c r="C197" s="4" t="str">
        <f>"OFICIAL DE PRODUCAO INDUSTRIAL"</f>
        <v>OFICIAL DE PRODUCAO INDUSTRIAL</v>
      </c>
      <c r="D197" s="5">
        <v>100</v>
      </c>
      <c r="E197" s="4" t="str">
        <f t="shared" si="15"/>
        <v>Funcionário</v>
      </c>
    </row>
    <row r="198" spans="1:5">
      <c r="A198" s="4" t="str">
        <f t="shared" si="16"/>
        <v>1</v>
      </c>
      <c r="B198" s="4" t="str">
        <f>"JOAO BATISTA DA SILVA"</f>
        <v>JOAO BATISTA DA SILVA</v>
      </c>
      <c r="C198" s="4" t="str">
        <f>"OFICIAL DE PRODUCAO INDUSTRIAL"</f>
        <v>OFICIAL DE PRODUCAO INDUSTRIAL</v>
      </c>
      <c r="D198" s="5">
        <v>100</v>
      </c>
      <c r="E198" s="4" t="str">
        <f>"Aposentado"</f>
        <v>Aposentado</v>
      </c>
    </row>
    <row r="199" spans="1:5">
      <c r="A199" s="4" t="str">
        <f t="shared" si="16"/>
        <v>1</v>
      </c>
      <c r="B199" s="4" t="str">
        <f>"JOAO BATISTA PRADO DA COSTA"</f>
        <v>JOAO BATISTA PRADO DA COSTA</v>
      </c>
      <c r="C199" s="4" t="str">
        <f>"CALDEIREIRO II"</f>
        <v>CALDEIREIRO II</v>
      </c>
      <c r="D199" s="5">
        <v>100</v>
      </c>
      <c r="E199" s="4" t="str">
        <f>"Funcionário"</f>
        <v>Funcionário</v>
      </c>
    </row>
    <row r="200" spans="1:5">
      <c r="A200" s="4" t="str">
        <f t="shared" si="16"/>
        <v>1</v>
      </c>
      <c r="B200" s="4" t="str">
        <f>"JOAO BOSCO GULO"</f>
        <v>JOAO BOSCO GULO</v>
      </c>
      <c r="C200" s="4" t="str">
        <f>"MOTORISTA MOP"</f>
        <v>MOTORISTA MOP</v>
      </c>
      <c r="D200" s="5">
        <v>100</v>
      </c>
      <c r="E200" s="4" t="str">
        <f>"Funcionário"</f>
        <v>Funcionário</v>
      </c>
    </row>
    <row r="201" spans="1:5">
      <c r="A201" s="4" t="str">
        <f t="shared" si="16"/>
        <v>1</v>
      </c>
      <c r="B201" s="4" t="str">
        <f>"JOAO BOSCO RIBEIRO FILHO"</f>
        <v>JOAO BOSCO RIBEIRO FILHO</v>
      </c>
      <c r="C201" s="4" t="str">
        <f>"OFICIAL DE PRODUCAO INDUSTRIAL"</f>
        <v>OFICIAL DE PRODUCAO INDUSTRIAL</v>
      </c>
      <c r="D201" s="5">
        <v>100</v>
      </c>
      <c r="E201" s="4" t="str">
        <f>"Funcionário"</f>
        <v>Funcionário</v>
      </c>
    </row>
    <row r="202" spans="1:5">
      <c r="A202" s="4" t="str">
        <f t="shared" si="16"/>
        <v>1</v>
      </c>
      <c r="B202" s="4" t="str">
        <f>"JOAO BOSCO RODRIGUES"</f>
        <v>JOAO BOSCO RODRIGUES</v>
      </c>
      <c r="C202" s="4" t="str">
        <f>"OFICIAL DE PRODUCAO INDUSTRIAL"</f>
        <v>OFICIAL DE PRODUCAO INDUSTRIAL</v>
      </c>
      <c r="D202" s="5">
        <v>100</v>
      </c>
      <c r="E202" s="4" t="str">
        <f>"Funcionário"</f>
        <v>Funcionário</v>
      </c>
    </row>
    <row r="203" spans="1:5">
      <c r="A203" s="4" t="str">
        <f t="shared" si="16"/>
        <v>1</v>
      </c>
      <c r="B203" s="4" t="str">
        <f>"JOAO CARLOS DA SILVA"</f>
        <v>JOAO CARLOS DA SILVA</v>
      </c>
      <c r="C203" s="4" t="str">
        <f>"OFICIAL DE PRODUCAO INDUSTRIAL"</f>
        <v>OFICIAL DE PRODUCAO INDUSTRIAL</v>
      </c>
      <c r="D203" s="5">
        <v>100</v>
      </c>
      <c r="E203" s="4" t="str">
        <f>"Aposentado"</f>
        <v>Aposentado</v>
      </c>
    </row>
    <row r="204" spans="1:5">
      <c r="A204" s="4" t="str">
        <f t="shared" si="16"/>
        <v>1</v>
      </c>
      <c r="B204" s="4" t="str">
        <f>"JOAO DE OLIVEIRA RAMOS FILHO"</f>
        <v>JOAO DE OLIVEIRA RAMOS FILHO</v>
      </c>
      <c r="C204" s="4" t="str">
        <f>"TEC INDUSTRIAL ESPECIALIZADO"</f>
        <v>TEC INDUSTRIAL ESPECIALIZADO</v>
      </c>
      <c r="D204" s="5">
        <v>100</v>
      </c>
      <c r="E204" s="4" t="str">
        <f>"Funcionário"</f>
        <v>Funcionário</v>
      </c>
    </row>
    <row r="205" spans="1:5">
      <c r="A205" s="4" t="str">
        <f t="shared" si="16"/>
        <v>1</v>
      </c>
      <c r="B205" s="4" t="str">
        <f>"JOAO FERREIRA DA LUZ"</f>
        <v>JOAO FERREIRA DA LUZ</v>
      </c>
      <c r="C205" s="4" t="str">
        <f>"AUXILIAR TECNICO INDUSTRIAL"</f>
        <v>AUXILIAR TECNICO INDUSTRIAL</v>
      </c>
      <c r="D205" s="5">
        <v>100</v>
      </c>
      <c r="E205" s="4" t="str">
        <f>"Funcionário"</f>
        <v>Funcionário</v>
      </c>
    </row>
    <row r="206" spans="1:5">
      <c r="A206" s="4" t="str">
        <f t="shared" si="16"/>
        <v>1</v>
      </c>
      <c r="B206" s="4" t="str">
        <f>"JOAO PINTO DA SILVA FILHO"</f>
        <v>JOAO PINTO DA SILVA FILHO</v>
      </c>
      <c r="C206" s="4" t="str">
        <f>"OFICIAL DE PRODUCAO INDUSTRIAL"</f>
        <v>OFICIAL DE PRODUCAO INDUSTRIAL</v>
      </c>
      <c r="D206" s="5">
        <v>100</v>
      </c>
      <c r="E206" s="4" t="str">
        <f>"Funcionário"</f>
        <v>Funcionário</v>
      </c>
    </row>
    <row r="207" spans="1:5">
      <c r="A207" s="4" t="str">
        <f t="shared" si="16"/>
        <v>1</v>
      </c>
      <c r="B207" s="4" t="str">
        <f>"JOAO VITOR DE MELO"</f>
        <v>JOAO VITOR DE MELO</v>
      </c>
      <c r="C207" s="4" t="str">
        <f>"MOTORISTA MOP"</f>
        <v>MOTORISTA MOP</v>
      </c>
      <c r="D207" s="5">
        <v>100</v>
      </c>
      <c r="E207" s="4" t="str">
        <f>"Aposentado"</f>
        <v>Aposentado</v>
      </c>
    </row>
    <row r="208" spans="1:5">
      <c r="A208" s="4" t="str">
        <f t="shared" si="16"/>
        <v>1</v>
      </c>
      <c r="B208" s="4" t="str">
        <f>"JOAO VITOR PEIXOTO LEMES"</f>
        <v>JOAO VITOR PEIXOTO LEMES</v>
      </c>
      <c r="C208" s="4" t="str">
        <f>"TEC INDUSTRIAL ESPECIALIZADO"</f>
        <v>TEC INDUSTRIAL ESPECIALIZADO</v>
      </c>
      <c r="D208" s="5">
        <v>100</v>
      </c>
      <c r="E208" s="4" t="str">
        <f>"Funcionário"</f>
        <v>Funcionário</v>
      </c>
    </row>
    <row r="209" spans="1:5">
      <c r="A209" s="4" t="str">
        <f t="shared" si="16"/>
        <v>1</v>
      </c>
      <c r="B209" s="4" t="str">
        <f>"JOEL RODRIGUES"</f>
        <v>JOEL RODRIGUES</v>
      </c>
      <c r="C209" s="4" t="str">
        <f>"TECNICO ADM ESPECIALIZADO"</f>
        <v>TECNICO ADM ESPECIALIZADO</v>
      </c>
      <c r="D209" s="5">
        <v>100</v>
      </c>
      <c r="E209" s="4" t="str">
        <f>"Aposentado"</f>
        <v>Aposentado</v>
      </c>
    </row>
    <row r="210" spans="1:5">
      <c r="A210" s="4" t="str">
        <f t="shared" si="16"/>
        <v>1</v>
      </c>
      <c r="B210" s="4" t="str">
        <f>"JONAS LAZARINI COSTA"</f>
        <v>JONAS LAZARINI COSTA</v>
      </c>
      <c r="C210" s="4" t="str">
        <f>"TEC INDUSTRIAL ESPECIALIZADO"</f>
        <v>TEC INDUSTRIAL ESPECIALIZADO</v>
      </c>
      <c r="D210" s="5">
        <v>100</v>
      </c>
      <c r="E210" s="4" t="str">
        <f>"Funcionário"</f>
        <v>Funcionário</v>
      </c>
    </row>
    <row r="211" spans="1:5">
      <c r="A211" s="4" t="str">
        <f t="shared" si="16"/>
        <v>1</v>
      </c>
      <c r="B211" s="4" t="str">
        <f>"JONATAS HEBERT RIBEIRO DE OLIVEIRA"</f>
        <v>JONATAS HEBERT RIBEIRO DE OLIVEIRA</v>
      </c>
      <c r="C211" s="4" t="str">
        <f>"APRENDIZ- PRODUÇÃO"</f>
        <v>APRENDIZ- PRODUÇÃO</v>
      </c>
      <c r="D211" s="5">
        <v>103</v>
      </c>
      <c r="E211" s="4" t="str">
        <f>"Aprendiz"</f>
        <v>Aprendiz</v>
      </c>
    </row>
    <row r="212" spans="1:5">
      <c r="A212" s="4" t="str">
        <f t="shared" si="16"/>
        <v>1</v>
      </c>
      <c r="B212" s="4" t="str">
        <f>"JONATHAN ALEX TOMAZI DE OLIVEIRA"</f>
        <v>JONATHAN ALEX TOMAZI DE OLIVEIRA</v>
      </c>
      <c r="C212" s="4" t="str">
        <f>"TECNICO ADM ESPECIALIZADO"</f>
        <v>TECNICO ADM ESPECIALIZADO</v>
      </c>
      <c r="D212" s="5">
        <v>100</v>
      </c>
      <c r="E212" s="4" t="str">
        <f>"Funcionário"</f>
        <v>Funcionário</v>
      </c>
    </row>
    <row r="213" spans="1:5">
      <c r="A213" s="4" t="str">
        <f t="shared" si="16"/>
        <v>1</v>
      </c>
      <c r="B213" s="4" t="str">
        <f>"JORGE LUIZ DE ALMEIDA"</f>
        <v>JORGE LUIZ DE ALMEIDA</v>
      </c>
      <c r="C213" s="4" t="str">
        <f>"OFICIAL DE PRODUCAO INDUSTRIAL"</f>
        <v>OFICIAL DE PRODUCAO INDUSTRIAL</v>
      </c>
      <c r="D213" s="5">
        <v>100</v>
      </c>
      <c r="E213" s="4" t="str">
        <f>"Aposentado"</f>
        <v>Aposentado</v>
      </c>
    </row>
    <row r="214" spans="1:5">
      <c r="A214" s="4" t="str">
        <f t="shared" si="16"/>
        <v>1</v>
      </c>
      <c r="B214" s="4" t="str">
        <f>"JORGE LUIZ MENDONCA JUNIOR"</f>
        <v>JORGE LUIZ MENDONCA JUNIOR</v>
      </c>
      <c r="C214" s="4" t="str">
        <f>"OFICIAL DE PRODUCAO INDUSTRIAL"</f>
        <v>OFICIAL DE PRODUCAO INDUSTRIAL</v>
      </c>
      <c r="D214" s="5">
        <v>100</v>
      </c>
      <c r="E214" s="4" t="str">
        <f>"Funcionário"</f>
        <v>Funcionário</v>
      </c>
    </row>
    <row r="215" spans="1:5">
      <c r="A215" s="4" t="str">
        <f t="shared" si="16"/>
        <v>1</v>
      </c>
      <c r="B215" s="4" t="str">
        <f>"JORGE MIGUEL"</f>
        <v>JORGE MIGUEL</v>
      </c>
      <c r="C215" s="4" t="str">
        <f>"OPER PRODUCAO III"</f>
        <v>OPER PRODUCAO III</v>
      </c>
      <c r="D215" s="5">
        <v>100</v>
      </c>
      <c r="E215" s="4" t="str">
        <f>"Funcionário"</f>
        <v>Funcionário</v>
      </c>
    </row>
    <row r="216" spans="1:5">
      <c r="A216" s="4" t="str">
        <f t="shared" si="16"/>
        <v>1</v>
      </c>
      <c r="B216" s="4" t="str">
        <f>"JORGE MOREIRA"</f>
        <v>JORGE MOREIRA</v>
      </c>
      <c r="C216" s="4" t="str">
        <f>"AUXILIAR TECNICO INDUSTRIAL"</f>
        <v>AUXILIAR TECNICO INDUSTRIAL</v>
      </c>
      <c r="D216" s="5">
        <v>100</v>
      </c>
      <c r="E216" s="4" t="str">
        <f>"Aposentado"</f>
        <v>Aposentado</v>
      </c>
    </row>
    <row r="217" spans="1:5">
      <c r="A217" s="4" t="str">
        <f t="shared" si="16"/>
        <v>1</v>
      </c>
      <c r="B217" s="4" t="str">
        <f>"JOSE ALVES MARCELINO"</f>
        <v>JOSE ALVES MARCELINO</v>
      </c>
      <c r="C217" s="4" t="str">
        <f>"OFICIAL DE PRODUCAO INDUSTRIAL"</f>
        <v>OFICIAL DE PRODUCAO INDUSTRIAL</v>
      </c>
      <c r="D217" s="5">
        <v>100</v>
      </c>
      <c r="E217" s="4" t="str">
        <f>"Funcionário"</f>
        <v>Funcionário</v>
      </c>
    </row>
    <row r="218" spans="1:5">
      <c r="A218" s="4" t="str">
        <f t="shared" si="16"/>
        <v>1</v>
      </c>
      <c r="B218" s="4" t="str">
        <f>"JOSE AUGUSTO DA SILVA"</f>
        <v>JOSE AUGUSTO DA SILVA</v>
      </c>
      <c r="C218" s="4" t="str">
        <f>"OFICIAL DE PRODUCAO INDUSTRIAL"</f>
        <v>OFICIAL DE PRODUCAO INDUSTRIAL</v>
      </c>
      <c r="D218" s="5">
        <v>100</v>
      </c>
      <c r="E218" s="4" t="str">
        <f>"Aposentado"</f>
        <v>Aposentado</v>
      </c>
    </row>
    <row r="219" spans="1:5">
      <c r="A219" s="4" t="str">
        <f t="shared" si="16"/>
        <v>1</v>
      </c>
      <c r="B219" s="4" t="str">
        <f>"JOSE AUGUSTO FERREIRA VALDEZ"</f>
        <v>JOSE AUGUSTO FERREIRA VALDEZ</v>
      </c>
      <c r="C219" s="4" t="str">
        <f>"BOMBEIRO CIVIL"</f>
        <v>BOMBEIRO CIVIL</v>
      </c>
      <c r="D219" s="5">
        <v>100</v>
      </c>
      <c r="E219" s="4" t="str">
        <f>"Funcionário"</f>
        <v>Funcionário</v>
      </c>
    </row>
    <row r="220" spans="1:5">
      <c r="A220" s="4" t="str">
        <f t="shared" si="16"/>
        <v>1</v>
      </c>
      <c r="B220" s="4" t="str">
        <f>"JOSE AUGUSTO GUIMARAES"</f>
        <v>JOSE AUGUSTO GUIMARAES</v>
      </c>
      <c r="C220" s="4" t="str">
        <f>"BOMBEIRO CIVIL"</f>
        <v>BOMBEIRO CIVIL</v>
      </c>
      <c r="D220" s="5">
        <v>100</v>
      </c>
      <c r="E220" s="4" t="str">
        <f>"Funcionário"</f>
        <v>Funcionário</v>
      </c>
    </row>
    <row r="221" spans="1:5">
      <c r="A221" s="4" t="str">
        <f t="shared" si="16"/>
        <v>1</v>
      </c>
      <c r="B221" s="4" t="str">
        <f>"JOSE BENEDITO GONCALVES DE ABREU"</f>
        <v>JOSE BENEDITO GONCALVES DE ABREU</v>
      </c>
      <c r="C221" s="4" t="str">
        <f>"AUX TECNICO ADMINISTRATIVO"</f>
        <v>AUX TECNICO ADMINISTRATIVO</v>
      </c>
      <c r="D221" s="5">
        <v>100</v>
      </c>
      <c r="E221" s="4" t="str">
        <f>"Funcionário"</f>
        <v>Funcionário</v>
      </c>
    </row>
    <row r="222" spans="1:5">
      <c r="A222" s="4" t="str">
        <f t="shared" si="16"/>
        <v>1</v>
      </c>
      <c r="B222" s="4" t="str">
        <f>"JOSE CARLOS CATARINO"</f>
        <v>JOSE CARLOS CATARINO</v>
      </c>
      <c r="C222" s="4" t="str">
        <f>"OFICIAL DE PRODUCAO INDUSTRIAL"</f>
        <v>OFICIAL DE PRODUCAO INDUSTRIAL</v>
      </c>
      <c r="D222" s="5">
        <v>100</v>
      </c>
      <c r="E222" s="4" t="str">
        <f>"Funcionário"</f>
        <v>Funcionário</v>
      </c>
    </row>
    <row r="223" spans="1:5">
      <c r="A223" s="4" t="str">
        <f t="shared" si="16"/>
        <v>1</v>
      </c>
      <c r="B223" s="4" t="str">
        <f>"JOSE CARLOS DA FONSECA"</f>
        <v>JOSE CARLOS DA FONSECA</v>
      </c>
      <c r="C223" s="4" t="str">
        <f>"OPERADOR UT INDUSTRIAIS III"</f>
        <v>OPERADOR UT INDUSTRIAIS III</v>
      </c>
      <c r="D223" s="5">
        <v>100</v>
      </c>
      <c r="E223" s="4" t="str">
        <f>"Funcionário"</f>
        <v>Funcionário</v>
      </c>
    </row>
    <row r="224" spans="1:5">
      <c r="A224" s="4" t="str">
        <f t="shared" si="16"/>
        <v>1</v>
      </c>
      <c r="B224" s="4" t="str">
        <f>"JOSE CARLOS DAS CHAGAS"</f>
        <v>JOSE CARLOS DAS CHAGAS</v>
      </c>
      <c r="C224" s="4" t="str">
        <f>"OFICIAL DE PRODUCAO INDUSTRIAL"</f>
        <v>OFICIAL DE PRODUCAO INDUSTRIAL</v>
      </c>
      <c r="D224" s="5">
        <v>100</v>
      </c>
      <c r="E224" s="4" t="str">
        <f>"Aposentado"</f>
        <v>Aposentado</v>
      </c>
    </row>
    <row r="225" spans="1:5">
      <c r="A225" s="4" t="str">
        <f t="shared" si="16"/>
        <v>1</v>
      </c>
      <c r="B225" s="4" t="str">
        <f>"JOSE CARLOS DE ABREU"</f>
        <v>JOSE CARLOS DE ABREU</v>
      </c>
      <c r="C225" s="4" t="str">
        <f>"TEC INDUSTRIAL ESPECIALIZADO"</f>
        <v>TEC INDUSTRIAL ESPECIALIZADO</v>
      </c>
      <c r="D225" s="5">
        <v>100</v>
      </c>
      <c r="E225" s="4" t="str">
        <f>"Funcionário"</f>
        <v>Funcionário</v>
      </c>
    </row>
    <row r="226" spans="1:5">
      <c r="A226" s="4" t="str">
        <f t="shared" si="16"/>
        <v>1</v>
      </c>
      <c r="B226" s="4" t="str">
        <f>"JOSE DE ALENCAR ROUPE"</f>
        <v>JOSE DE ALENCAR ROUPE</v>
      </c>
      <c r="C226" s="4" t="str">
        <f>"OFICIAL DE PRODUCAO INDUSTRIAL"</f>
        <v>OFICIAL DE PRODUCAO INDUSTRIAL</v>
      </c>
      <c r="D226" s="5">
        <v>100</v>
      </c>
      <c r="E226" s="4" t="str">
        <f>"Funcionário"</f>
        <v>Funcionário</v>
      </c>
    </row>
    <row r="227" spans="1:5">
      <c r="A227" s="4" t="str">
        <f t="shared" si="16"/>
        <v>1</v>
      </c>
      <c r="B227" s="4" t="str">
        <f>"JOSE DONIZETI MARCONDES"</f>
        <v>JOSE DONIZETI MARCONDES</v>
      </c>
      <c r="C227" s="4" t="str">
        <f>"AUX TECNICO ADMINISTRATIVO"</f>
        <v>AUX TECNICO ADMINISTRATIVO</v>
      </c>
      <c r="D227" s="5">
        <v>100</v>
      </c>
      <c r="E227" s="4" t="str">
        <f>"Aposentado"</f>
        <v>Aposentado</v>
      </c>
    </row>
    <row r="228" spans="1:5">
      <c r="A228" s="4" t="str">
        <f t="shared" si="16"/>
        <v>1</v>
      </c>
      <c r="B228" s="4" t="str">
        <f>"JOSE EVANDO DE ALMEIDA"</f>
        <v>JOSE EVANDO DE ALMEIDA</v>
      </c>
      <c r="C228" s="4" t="str">
        <f>"TEC INDUSTRIAL ESPECIALIZADO"</f>
        <v>TEC INDUSTRIAL ESPECIALIZADO</v>
      </c>
      <c r="D228" s="5">
        <v>100</v>
      </c>
      <c r="E228" s="4" t="str">
        <f>"Funcionário"</f>
        <v>Funcionário</v>
      </c>
    </row>
    <row r="229" spans="1:5">
      <c r="A229" s="4" t="str">
        <f t="shared" si="16"/>
        <v>1</v>
      </c>
      <c r="B229" s="4" t="str">
        <f>"JOSE FLORIANO TEIXEIRA"</f>
        <v>JOSE FLORIANO TEIXEIRA</v>
      </c>
      <c r="C229" s="4" t="str">
        <f>"OPER PRODUCAO III"</f>
        <v>OPER PRODUCAO III</v>
      </c>
      <c r="D229" s="5">
        <v>100</v>
      </c>
      <c r="E229" s="4" t="str">
        <f>"Funcionário"</f>
        <v>Funcionário</v>
      </c>
    </row>
    <row r="230" spans="1:5">
      <c r="A230" s="4" t="str">
        <f t="shared" si="16"/>
        <v>1</v>
      </c>
      <c r="B230" s="4" t="str">
        <f>"JOSE HENRIQUE DE ALMEIDA"</f>
        <v>JOSE HENRIQUE DE ALMEIDA</v>
      </c>
      <c r="C230" s="4" t="str">
        <f>"AUXILIAR TECNICO INDUSTRIAL"</f>
        <v>AUXILIAR TECNICO INDUSTRIAL</v>
      </c>
      <c r="D230" s="5">
        <v>100</v>
      </c>
      <c r="E230" s="4" t="str">
        <f>"Funcionário"</f>
        <v>Funcionário</v>
      </c>
    </row>
    <row r="231" spans="1:5">
      <c r="A231" s="4" t="str">
        <f t="shared" si="16"/>
        <v>1</v>
      </c>
      <c r="B231" s="4" t="str">
        <f>"JOSE JAIR BRAGA"</f>
        <v>JOSE JAIR BRAGA</v>
      </c>
      <c r="C231" s="4" t="str">
        <f>"AUXILIAR TECNICO INDUSTRIAL"</f>
        <v>AUXILIAR TECNICO INDUSTRIAL</v>
      </c>
      <c r="D231" s="5">
        <v>100</v>
      </c>
      <c r="E231" s="4" t="str">
        <f>"Aposentado"</f>
        <v>Aposentado</v>
      </c>
    </row>
    <row r="232" spans="1:5">
      <c r="A232" s="4" t="str">
        <f t="shared" si="16"/>
        <v>1</v>
      </c>
      <c r="B232" s="4" t="str">
        <f>"JOSE NELSON RIBEIRO"</f>
        <v>JOSE NELSON RIBEIRO</v>
      </c>
      <c r="C232" s="4" t="str">
        <f>"OFICIAL DE PRODUCAO INDUSTRIAL"</f>
        <v>OFICIAL DE PRODUCAO INDUSTRIAL</v>
      </c>
      <c r="D232" s="5">
        <v>100</v>
      </c>
      <c r="E232" s="4" t="str">
        <f>"Aposentado"</f>
        <v>Aposentado</v>
      </c>
    </row>
    <row r="233" spans="1:5">
      <c r="A233" s="4" t="str">
        <f t="shared" si="16"/>
        <v>1</v>
      </c>
      <c r="B233" s="4" t="str">
        <f>"JOSE ORLANDO CORREA"</f>
        <v>JOSE ORLANDO CORREA</v>
      </c>
      <c r="C233" s="4" t="str">
        <f>"OFICIAL DE PRODUCAO INDUSTRIAL"</f>
        <v>OFICIAL DE PRODUCAO INDUSTRIAL</v>
      </c>
      <c r="D233" s="5">
        <v>100</v>
      </c>
      <c r="E233" s="4" t="str">
        <f>"Aposentado"</f>
        <v>Aposentado</v>
      </c>
    </row>
    <row r="234" spans="1:5">
      <c r="A234" s="4" t="str">
        <f t="shared" si="16"/>
        <v>1</v>
      </c>
      <c r="B234" s="4" t="str">
        <f>"JOSE ROBERTO COURA"</f>
        <v>JOSE ROBERTO COURA</v>
      </c>
      <c r="C234" s="4" t="str">
        <f>"ANALISTA ESPECIALIZADO"</f>
        <v>ANALISTA ESPECIALIZADO</v>
      </c>
      <c r="D234" s="5">
        <v>100</v>
      </c>
      <c r="E234" s="4" t="str">
        <f>"Aposentado"</f>
        <v>Aposentado</v>
      </c>
    </row>
    <row r="235" spans="1:5">
      <c r="A235" s="4" t="str">
        <f t="shared" si="16"/>
        <v>1</v>
      </c>
      <c r="B235" s="4" t="str">
        <f>"JOSE ROBERTO DA SILVA"</f>
        <v>JOSE ROBERTO DA SILVA</v>
      </c>
      <c r="C235" s="4" t="str">
        <f>"TEC INDUSTRIAL ESPECIALIZADO"</f>
        <v>TEC INDUSTRIAL ESPECIALIZADO</v>
      </c>
      <c r="D235" s="5">
        <v>100</v>
      </c>
      <c r="E235" s="4" t="str">
        <f>"Aposentado"</f>
        <v>Aposentado</v>
      </c>
    </row>
    <row r="236" spans="1:5">
      <c r="A236" s="4" t="str">
        <f t="shared" si="16"/>
        <v>1</v>
      </c>
      <c r="B236" s="4" t="str">
        <f>"JOSE VANDIR ALVES DE CARVALHO"</f>
        <v>JOSE VANDIR ALVES DE CARVALHO</v>
      </c>
      <c r="C236" s="4" t="str">
        <f>"AGENTE DE APOIO OPERACIONAL"</f>
        <v>AGENTE DE APOIO OPERACIONAL</v>
      </c>
      <c r="D236" s="5">
        <v>100</v>
      </c>
      <c r="E236" s="4" t="str">
        <f t="shared" ref="E236:E245" si="17">"Funcionário"</f>
        <v>Funcionário</v>
      </c>
    </row>
    <row r="237" spans="1:5">
      <c r="A237" s="4" t="str">
        <f t="shared" si="16"/>
        <v>1</v>
      </c>
      <c r="B237" s="4" t="str">
        <f>"JOSIANE LOPES DE CARVALHO"</f>
        <v>JOSIANE LOPES DE CARVALHO</v>
      </c>
      <c r="C237" s="4" t="str">
        <f>"TEC INDUSTRIAL ESPECIALIZADO"</f>
        <v>TEC INDUSTRIAL ESPECIALIZADO</v>
      </c>
      <c r="D237" s="5">
        <v>100</v>
      </c>
      <c r="E237" s="4" t="str">
        <f t="shared" si="17"/>
        <v>Funcionário</v>
      </c>
    </row>
    <row r="238" spans="1:5">
      <c r="A238" s="4" t="str">
        <f t="shared" si="16"/>
        <v>1</v>
      </c>
      <c r="B238" s="4" t="str">
        <f>"JOSIAS RAMOS DA SILVA"</f>
        <v>JOSIAS RAMOS DA SILVA</v>
      </c>
      <c r="C238" s="4" t="str">
        <f>"OFICIAL DE PRODUCAO INDUSTRIAL"</f>
        <v>OFICIAL DE PRODUCAO INDUSTRIAL</v>
      </c>
      <c r="D238" s="5">
        <v>100</v>
      </c>
      <c r="E238" s="4" t="str">
        <f t="shared" si="17"/>
        <v>Funcionário</v>
      </c>
    </row>
    <row r="239" spans="1:5">
      <c r="A239" s="4" t="str">
        <f t="shared" si="16"/>
        <v>1</v>
      </c>
      <c r="B239" s="4" t="str">
        <f>"JOSUE PINTO RIBEIRO"</f>
        <v>JOSUE PINTO RIBEIRO</v>
      </c>
      <c r="C239" s="4" t="str">
        <f>"OFICIAL DE PRODUCAO INDUSTRIAL"</f>
        <v>OFICIAL DE PRODUCAO INDUSTRIAL</v>
      </c>
      <c r="D239" s="5">
        <v>100</v>
      </c>
      <c r="E239" s="4" t="str">
        <f t="shared" si="17"/>
        <v>Funcionário</v>
      </c>
    </row>
    <row r="240" spans="1:5">
      <c r="A240" s="4" t="str">
        <f t="shared" si="16"/>
        <v>1</v>
      </c>
      <c r="B240" s="4" t="str">
        <f>"JOSUE TEIXEIRA DOS SANTOS"</f>
        <v>JOSUE TEIXEIRA DOS SANTOS</v>
      </c>
      <c r="C240" s="4" t="str">
        <f>"TECNICO SEGURANÇA DO TRABALHO"</f>
        <v>TECNICO SEGURANÇA DO TRABALHO</v>
      </c>
      <c r="D240" s="5">
        <v>100</v>
      </c>
      <c r="E240" s="4" t="str">
        <f t="shared" si="17"/>
        <v>Funcionário</v>
      </c>
    </row>
    <row r="241" spans="1:5">
      <c r="A241" s="4" t="str">
        <f t="shared" si="16"/>
        <v>1</v>
      </c>
      <c r="B241" s="4" t="str">
        <f>"JOYCE IRACEMA DE TOLEDO RIBEIRO"</f>
        <v>JOYCE IRACEMA DE TOLEDO RIBEIRO</v>
      </c>
      <c r="C241" s="4" t="str">
        <f>"OFICIAL DE PRODUCAO INDUSTRIAL"</f>
        <v>OFICIAL DE PRODUCAO INDUSTRIAL</v>
      </c>
      <c r="D241" s="5">
        <v>100</v>
      </c>
      <c r="E241" s="4" t="str">
        <f t="shared" si="17"/>
        <v>Funcionário</v>
      </c>
    </row>
    <row r="242" spans="1:5">
      <c r="A242" s="4" t="str">
        <f t="shared" si="16"/>
        <v>1</v>
      </c>
      <c r="B242" s="4" t="str">
        <f>"JULIANA COSTA VERGNAUD DA SILVA"</f>
        <v>JULIANA COSTA VERGNAUD DA SILVA</v>
      </c>
      <c r="C242" s="4" t="str">
        <f>"TEC INDUSTRIAL ESPECIALIZADO"</f>
        <v>TEC INDUSTRIAL ESPECIALIZADO</v>
      </c>
      <c r="D242" s="5">
        <v>100</v>
      </c>
      <c r="E242" s="4" t="str">
        <f t="shared" si="17"/>
        <v>Funcionário</v>
      </c>
    </row>
    <row r="243" spans="1:5">
      <c r="A243" s="4" t="str">
        <f t="shared" si="16"/>
        <v>1</v>
      </c>
      <c r="B243" s="4" t="str">
        <f>"JULIANO AUGUSTO INACIO"</f>
        <v>JULIANO AUGUSTO INACIO</v>
      </c>
      <c r="C243" s="4" t="str">
        <f>"BOMBEIRO CIVIL"</f>
        <v>BOMBEIRO CIVIL</v>
      </c>
      <c r="D243" s="5">
        <v>100</v>
      </c>
      <c r="E243" s="4" t="str">
        <f t="shared" si="17"/>
        <v>Funcionário</v>
      </c>
    </row>
    <row r="244" spans="1:5">
      <c r="A244" s="4" t="str">
        <f t="shared" si="16"/>
        <v>1</v>
      </c>
      <c r="B244" s="4" t="str">
        <f>"JULIANO GONCALVES LOPES"</f>
        <v>JULIANO GONCALVES LOPES</v>
      </c>
      <c r="C244" s="4" t="str">
        <f>"AUX TECNICO ADMINISTRATIVO"</f>
        <v>AUX TECNICO ADMINISTRATIVO</v>
      </c>
      <c r="D244" s="5">
        <v>100</v>
      </c>
      <c r="E244" s="4" t="str">
        <f t="shared" si="17"/>
        <v>Funcionário</v>
      </c>
    </row>
    <row r="245" spans="1:5">
      <c r="A245" s="4" t="str">
        <f t="shared" si="16"/>
        <v>1</v>
      </c>
      <c r="B245" s="4" t="str">
        <f>"JUNIOR DO CARMO TEMPONE"</f>
        <v>JUNIOR DO CARMO TEMPONE</v>
      </c>
      <c r="C245" s="4" t="str">
        <f>"TEC INDUSTRIAL ESPECIALIZADO"</f>
        <v>TEC INDUSTRIAL ESPECIALIZADO</v>
      </c>
      <c r="D245" s="5">
        <v>100</v>
      </c>
      <c r="E245" s="4" t="str">
        <f t="shared" si="17"/>
        <v>Funcionário</v>
      </c>
    </row>
    <row r="246" spans="1:5">
      <c r="A246" s="4" t="str">
        <f t="shared" si="16"/>
        <v>1</v>
      </c>
      <c r="B246" s="4" t="str">
        <f>"JURANDIR EDUARDO DOS SANTOS"</f>
        <v>JURANDIR EDUARDO DOS SANTOS</v>
      </c>
      <c r="C246" s="4" t="str">
        <f>"AUX TECNICO ADMINISTRATIVO"</f>
        <v>AUX TECNICO ADMINISTRATIVO</v>
      </c>
      <c r="D246" s="5">
        <v>100</v>
      </c>
      <c r="E246" s="4" t="str">
        <f>"Aposentado"</f>
        <v>Aposentado</v>
      </c>
    </row>
    <row r="247" spans="1:5">
      <c r="A247" s="4" t="str">
        <f t="shared" si="16"/>
        <v>1</v>
      </c>
      <c r="B247" s="4" t="str">
        <f>"KATLEN LAVINIA FERREIRA NOGUEIRA"</f>
        <v>KATLEN LAVINIA FERREIRA NOGUEIRA</v>
      </c>
      <c r="C247" s="4" t="str">
        <f>"AGENTE DE APOIO OPERACIONAL"</f>
        <v>AGENTE DE APOIO OPERACIONAL</v>
      </c>
      <c r="D247" s="5">
        <v>100</v>
      </c>
      <c r="E247" s="4" t="str">
        <f>"Funcionário"</f>
        <v>Funcionário</v>
      </c>
    </row>
    <row r="248" spans="1:5">
      <c r="A248" s="4" t="str">
        <f t="shared" si="16"/>
        <v>1</v>
      </c>
      <c r="B248" s="4" t="str">
        <f>"KIARA DOMINGUES DE PAULA SOUZA"</f>
        <v>KIARA DOMINGUES DE PAULA SOUZA</v>
      </c>
      <c r="C248" s="4" t="str">
        <f>"AGENTE DE APOIO OPERACIONAL"</f>
        <v>AGENTE DE APOIO OPERACIONAL</v>
      </c>
      <c r="D248" s="5">
        <v>100</v>
      </c>
      <c r="E248" s="4" t="str">
        <f>"Funcionário"</f>
        <v>Funcionário</v>
      </c>
    </row>
    <row r="249" spans="1:5">
      <c r="A249" s="4" t="str">
        <f t="shared" si="16"/>
        <v>1</v>
      </c>
      <c r="B249" s="4" t="str">
        <f>"LAIS DA COSTA VALENTIM"</f>
        <v>LAIS DA COSTA VALENTIM</v>
      </c>
      <c r="C249" s="4" t="str">
        <f>"TEC INDUSTRIAL ESPECIALIZADO"</f>
        <v>TEC INDUSTRIAL ESPECIALIZADO</v>
      </c>
      <c r="D249" s="5">
        <v>100</v>
      </c>
      <c r="E249" s="4" t="str">
        <f>"Funcionário"</f>
        <v>Funcionário</v>
      </c>
    </row>
    <row r="250" spans="1:5">
      <c r="A250" s="4" t="str">
        <f t="shared" si="16"/>
        <v>1</v>
      </c>
      <c r="B250" s="4" t="str">
        <f>"LANDER RIBEIRO DE CASTRO"</f>
        <v>LANDER RIBEIRO DE CASTRO</v>
      </c>
      <c r="C250" s="4" t="str">
        <f>"TEC INDUSTRIAL ESPECIALIZADO"</f>
        <v>TEC INDUSTRIAL ESPECIALIZADO</v>
      </c>
      <c r="D250" s="5">
        <v>100</v>
      </c>
      <c r="E250" s="4" t="str">
        <f>"Funcionário"</f>
        <v>Funcionário</v>
      </c>
    </row>
    <row r="251" spans="1:5">
      <c r="A251" s="4" t="str">
        <f t="shared" si="16"/>
        <v>1</v>
      </c>
      <c r="B251" s="4" t="str">
        <f>"LAVINIA SIPRIANO DA SILVA GONÇALVES"</f>
        <v>LAVINIA SIPRIANO DA SILVA GONÇALVES</v>
      </c>
      <c r="C251" s="4" t="str">
        <f>"APRENDIZ- PRODUÇÃO"</f>
        <v>APRENDIZ- PRODUÇÃO</v>
      </c>
      <c r="D251" s="5">
        <v>103</v>
      </c>
      <c r="E251" s="4" t="str">
        <f>"Aprendiz"</f>
        <v>Aprendiz</v>
      </c>
    </row>
    <row r="252" spans="1:5">
      <c r="A252" s="4" t="str">
        <f t="shared" si="16"/>
        <v>1</v>
      </c>
      <c r="B252" s="4" t="str">
        <f>"LEANDRO DE ANDRADE NOGUEIRA"</f>
        <v>LEANDRO DE ANDRADE NOGUEIRA</v>
      </c>
      <c r="C252" s="4" t="str">
        <f>"AUXILIAR TECNICO INDUSTRIAL"</f>
        <v>AUXILIAR TECNICO INDUSTRIAL</v>
      </c>
      <c r="D252" s="5">
        <v>100</v>
      </c>
      <c r="E252" s="4" t="str">
        <f>"Funcionário"</f>
        <v>Funcionário</v>
      </c>
    </row>
    <row r="253" spans="1:5">
      <c r="A253" s="4" t="str">
        <f t="shared" si="16"/>
        <v>1</v>
      </c>
      <c r="B253" s="4" t="str">
        <f>"LEONARDO PEREIRA PANTOJA"</f>
        <v>LEONARDO PEREIRA PANTOJA</v>
      </c>
      <c r="C253" s="4" t="str">
        <f>"TEC INDUSTRIAL ESPECIALIZADO"</f>
        <v>TEC INDUSTRIAL ESPECIALIZADO</v>
      </c>
      <c r="D253" s="5">
        <v>100</v>
      </c>
      <c r="E253" s="4" t="str">
        <f>"Funcionário"</f>
        <v>Funcionário</v>
      </c>
    </row>
    <row r="254" spans="1:5">
      <c r="A254" s="4" t="str">
        <f t="shared" si="16"/>
        <v>1</v>
      </c>
      <c r="B254" s="4" t="str">
        <f>"LEONTINO ALVES DE ANDRADE"</f>
        <v>LEONTINO ALVES DE ANDRADE</v>
      </c>
      <c r="C254" s="4" t="str">
        <f>"AGENTE DE APOIO OPERACIONAL"</f>
        <v>AGENTE DE APOIO OPERACIONAL</v>
      </c>
      <c r="D254" s="5">
        <v>100</v>
      </c>
      <c r="E254" s="4" t="str">
        <f>"Aposentado"</f>
        <v>Aposentado</v>
      </c>
    </row>
    <row r="255" spans="1:5">
      <c r="A255" s="4" t="str">
        <f t="shared" si="16"/>
        <v>1</v>
      </c>
      <c r="B255" s="4" t="str">
        <f>"LEYCE ARNAUD FARIA"</f>
        <v>LEYCE ARNAUD FARIA</v>
      </c>
      <c r="C255" s="4" t="str">
        <f>"OFICIAL DE PRODUCAO INDUSTRIAL"</f>
        <v>OFICIAL DE PRODUCAO INDUSTRIAL</v>
      </c>
      <c r="D255" s="5">
        <v>100</v>
      </c>
      <c r="E255" s="4" t="str">
        <f>"Funcionário"</f>
        <v>Funcionário</v>
      </c>
    </row>
    <row r="256" spans="1:5">
      <c r="A256" s="4" t="str">
        <f t="shared" si="16"/>
        <v>1</v>
      </c>
      <c r="B256" s="4" t="str">
        <f>"LOURENCO LEAL NETO"</f>
        <v>LOURENCO LEAL NETO</v>
      </c>
      <c r="C256" s="4" t="str">
        <f>"OFICIAL DE PRODUCAO INDUSTRIAL"</f>
        <v>OFICIAL DE PRODUCAO INDUSTRIAL</v>
      </c>
      <c r="D256" s="5">
        <v>100</v>
      </c>
      <c r="E256" s="4" t="str">
        <f>"Funcionário"</f>
        <v>Funcionário</v>
      </c>
    </row>
    <row r="257" spans="1:5">
      <c r="A257" s="4" t="str">
        <f t="shared" si="16"/>
        <v>1</v>
      </c>
      <c r="B257" s="4" t="str">
        <f>"LUANA QUINTANA DA COSTA"</f>
        <v>LUANA QUINTANA DA COSTA</v>
      </c>
      <c r="C257" s="4" t="str">
        <f>"APRENDIZ- ADMINISTRATIVO"</f>
        <v>APRENDIZ- ADMINISTRATIVO</v>
      </c>
      <c r="D257" s="5">
        <v>103</v>
      </c>
      <c r="E257" s="4" t="str">
        <f>"Aprendiz"</f>
        <v>Aprendiz</v>
      </c>
    </row>
    <row r="258" spans="1:5">
      <c r="A258" s="4" t="str">
        <f t="shared" si="16"/>
        <v>1</v>
      </c>
      <c r="B258" s="4" t="str">
        <f>"LUANE DA SILVA CIRINO"</f>
        <v>LUANE DA SILVA CIRINO</v>
      </c>
      <c r="C258" s="4" t="str">
        <f>"TEC INDUSTRIAL ESPECIALIZADO"</f>
        <v>TEC INDUSTRIAL ESPECIALIZADO</v>
      </c>
      <c r="D258" s="5">
        <v>100</v>
      </c>
      <c r="E258" s="4" t="str">
        <f t="shared" ref="E258:E270" si="18">"Funcionário"</f>
        <v>Funcionário</v>
      </c>
    </row>
    <row r="259" spans="1:5">
      <c r="A259" s="4" t="str">
        <f t="shared" ref="A259:A322" si="19">"1"</f>
        <v>1</v>
      </c>
      <c r="B259" s="4" t="str">
        <f>"LUCAS AURELIO DE PAULA"</f>
        <v>LUCAS AURELIO DE PAULA</v>
      </c>
      <c r="C259" s="4" t="str">
        <f>"OFICIAL DE PRODUCAO INDUSTRIAL"</f>
        <v>OFICIAL DE PRODUCAO INDUSTRIAL</v>
      </c>
      <c r="D259" s="5">
        <v>100</v>
      </c>
      <c r="E259" s="4" t="str">
        <f t="shared" si="18"/>
        <v>Funcionário</v>
      </c>
    </row>
    <row r="260" spans="1:5">
      <c r="A260" s="4" t="str">
        <f t="shared" si="19"/>
        <v>1</v>
      </c>
      <c r="B260" s="4" t="str">
        <f>"LUCAS DE FREITAS BASTOS FOGO"</f>
        <v>LUCAS DE FREITAS BASTOS FOGO</v>
      </c>
      <c r="C260" s="4" t="str">
        <f>"TEC INDUSTRIAL ESPECIALIZADO"</f>
        <v>TEC INDUSTRIAL ESPECIALIZADO</v>
      </c>
      <c r="D260" s="5">
        <v>100</v>
      </c>
      <c r="E260" s="4" t="str">
        <f t="shared" si="18"/>
        <v>Funcionário</v>
      </c>
    </row>
    <row r="261" spans="1:5">
      <c r="A261" s="4" t="str">
        <f t="shared" si="19"/>
        <v>1</v>
      </c>
      <c r="B261" s="4" t="str">
        <f>"LUCAS DOS SANTOS DE CARVALHO"</f>
        <v>LUCAS DOS SANTOS DE CARVALHO</v>
      </c>
      <c r="C261" s="4" t="str">
        <f>"OFICIAL DE PRODUCAO INDUSTRIAL"</f>
        <v>OFICIAL DE PRODUCAO INDUSTRIAL</v>
      </c>
      <c r="D261" s="5">
        <v>100</v>
      </c>
      <c r="E261" s="4" t="str">
        <f t="shared" si="18"/>
        <v>Funcionário</v>
      </c>
    </row>
    <row r="262" spans="1:5">
      <c r="A262" s="4" t="str">
        <f t="shared" si="19"/>
        <v>1</v>
      </c>
      <c r="B262" s="4" t="str">
        <f>"LUCAS FELIPE SANTOS DA CUNHA"</f>
        <v>LUCAS FELIPE SANTOS DA CUNHA</v>
      </c>
      <c r="C262" s="4" t="str">
        <f>"OFICIAL DE PRODUCAO INDUSTRIAL"</f>
        <v>OFICIAL DE PRODUCAO INDUSTRIAL</v>
      </c>
      <c r="D262" s="5">
        <v>100</v>
      </c>
      <c r="E262" s="4" t="str">
        <f t="shared" si="18"/>
        <v>Funcionário</v>
      </c>
    </row>
    <row r="263" spans="1:5">
      <c r="A263" s="4" t="str">
        <f t="shared" si="19"/>
        <v>1</v>
      </c>
      <c r="B263" s="4" t="str">
        <f>"LUCAS FURTADO BRAGA"</f>
        <v>LUCAS FURTADO BRAGA</v>
      </c>
      <c r="C263" s="4" t="str">
        <f>"TEC INDUSTRIAL ESPECIALIZADO"</f>
        <v>TEC INDUSTRIAL ESPECIALIZADO</v>
      </c>
      <c r="D263" s="5">
        <v>100</v>
      </c>
      <c r="E263" s="4" t="str">
        <f t="shared" si="18"/>
        <v>Funcionário</v>
      </c>
    </row>
    <row r="264" spans="1:5">
      <c r="A264" s="4" t="str">
        <f t="shared" si="19"/>
        <v>1</v>
      </c>
      <c r="B264" s="4" t="str">
        <f>"LUCAS HENRIQUE SOARES RIBEIRO"</f>
        <v>LUCAS HENRIQUE SOARES RIBEIRO</v>
      </c>
      <c r="C264" s="4" t="str">
        <f>"OFICIAL DE PRODUCAO INDUSTRIAL"</f>
        <v>OFICIAL DE PRODUCAO INDUSTRIAL</v>
      </c>
      <c r="D264" s="5">
        <v>100</v>
      </c>
      <c r="E264" s="4" t="str">
        <f t="shared" si="18"/>
        <v>Funcionário</v>
      </c>
    </row>
    <row r="265" spans="1:5">
      <c r="A265" s="4" t="str">
        <f t="shared" si="19"/>
        <v>1</v>
      </c>
      <c r="B265" s="4" t="str">
        <f>"LUCAS PEREIRA DA SILVA"</f>
        <v>LUCAS PEREIRA DA SILVA</v>
      </c>
      <c r="C265" s="4" t="str">
        <f>"BOMBEIRO CIVIL"</f>
        <v>BOMBEIRO CIVIL</v>
      </c>
      <c r="D265" s="5">
        <v>100</v>
      </c>
      <c r="E265" s="4" t="str">
        <f t="shared" si="18"/>
        <v>Funcionário</v>
      </c>
    </row>
    <row r="266" spans="1:5">
      <c r="A266" s="4" t="str">
        <f t="shared" si="19"/>
        <v>1</v>
      </c>
      <c r="B266" s="4" t="str">
        <f>"LUCIANA APARECIDA UCHOA FERREIRA"</f>
        <v>LUCIANA APARECIDA UCHOA FERREIRA</v>
      </c>
      <c r="C266" s="4" t="str">
        <f>"ENGENHEIRO"</f>
        <v>ENGENHEIRO</v>
      </c>
      <c r="D266" s="5">
        <v>100</v>
      </c>
      <c r="E266" s="4" t="str">
        <f t="shared" si="18"/>
        <v>Funcionário</v>
      </c>
    </row>
    <row r="267" spans="1:5">
      <c r="A267" s="4" t="str">
        <f t="shared" si="19"/>
        <v>1</v>
      </c>
      <c r="B267" s="4" t="str">
        <f>"LUCIANE MARIA CUSTODIO DOS SANTOS"</f>
        <v>LUCIANE MARIA CUSTODIO DOS SANTOS</v>
      </c>
      <c r="C267" s="4" t="str">
        <f>"AGENTE DE APOIO OPERACIONAL"</f>
        <v>AGENTE DE APOIO OPERACIONAL</v>
      </c>
      <c r="D267" s="5">
        <v>100</v>
      </c>
      <c r="E267" s="4" t="str">
        <f t="shared" si="18"/>
        <v>Funcionário</v>
      </c>
    </row>
    <row r="268" spans="1:5">
      <c r="A268" s="4" t="str">
        <f t="shared" si="19"/>
        <v>1</v>
      </c>
      <c r="B268" s="4" t="str">
        <f>"LUCIANO ALBERTO DA SILVA"</f>
        <v>LUCIANO ALBERTO DA SILVA</v>
      </c>
      <c r="C268" s="4" t="str">
        <f>"AUXILIAR TECNICO INDUSTRIAL"</f>
        <v>AUXILIAR TECNICO INDUSTRIAL</v>
      </c>
      <c r="D268" s="5">
        <v>100</v>
      </c>
      <c r="E268" s="4" t="str">
        <f t="shared" si="18"/>
        <v>Funcionário</v>
      </c>
    </row>
    <row r="269" spans="1:5">
      <c r="A269" s="4" t="str">
        <f t="shared" si="19"/>
        <v>1</v>
      </c>
      <c r="B269" s="4" t="str">
        <f>"LUCIANO PAULO DA SILVA"</f>
        <v>LUCIANO PAULO DA SILVA</v>
      </c>
      <c r="C269" s="4" t="str">
        <f>"AGENTE DE APOIO OPERACIONAL"</f>
        <v>AGENTE DE APOIO OPERACIONAL</v>
      </c>
      <c r="D269" s="5">
        <v>100</v>
      </c>
      <c r="E269" s="4" t="str">
        <f t="shared" si="18"/>
        <v>Funcionário</v>
      </c>
    </row>
    <row r="270" spans="1:5">
      <c r="A270" s="4" t="str">
        <f t="shared" si="19"/>
        <v>1</v>
      </c>
      <c r="B270" s="4" t="str">
        <f>"LUDMILA PEREIRA DE SOUSA"</f>
        <v>LUDMILA PEREIRA DE SOUSA</v>
      </c>
      <c r="C270" s="4" t="str">
        <f>"TEC INDUSTRIAL ESPECIALIZADO"</f>
        <v>TEC INDUSTRIAL ESPECIALIZADO</v>
      </c>
      <c r="D270" s="5">
        <v>100</v>
      </c>
      <c r="E270" s="4" t="str">
        <f t="shared" si="18"/>
        <v>Funcionário</v>
      </c>
    </row>
    <row r="271" spans="1:5">
      <c r="A271" s="4" t="str">
        <f t="shared" si="19"/>
        <v>1</v>
      </c>
      <c r="B271" s="4" t="str">
        <f>"LUERCIO OLYNTHO"</f>
        <v>LUERCIO OLYNTHO</v>
      </c>
      <c r="C271" s="4" t="str">
        <f>"TEC INDUSTRIAL ESPECIALIZADO"</f>
        <v>TEC INDUSTRIAL ESPECIALIZADO</v>
      </c>
      <c r="D271" s="5">
        <v>100</v>
      </c>
      <c r="E271" s="4" t="str">
        <f>"Aposentado"</f>
        <v>Aposentado</v>
      </c>
    </row>
    <row r="272" spans="1:5">
      <c r="A272" s="4" t="str">
        <f t="shared" si="19"/>
        <v>1</v>
      </c>
      <c r="B272" s="4" t="str">
        <f>"LUIS HENRIQUE DE MORAIS SOUZA"</f>
        <v>LUIS HENRIQUE DE MORAIS SOUZA</v>
      </c>
      <c r="C272" s="4" t="str">
        <f>"TECNICO ADM ESPECIALIZADO"</f>
        <v>TECNICO ADM ESPECIALIZADO</v>
      </c>
      <c r="D272" s="5">
        <v>100</v>
      </c>
      <c r="E272" s="4" t="str">
        <f>"Aposentado"</f>
        <v>Aposentado</v>
      </c>
    </row>
    <row r="273" spans="1:5">
      <c r="A273" s="4" t="str">
        <f t="shared" si="19"/>
        <v>1</v>
      </c>
      <c r="B273" s="4" t="str">
        <f>"LUIZ ANTONIO LEONCIO"</f>
        <v>LUIZ ANTONIO LEONCIO</v>
      </c>
      <c r="C273" s="4" t="str">
        <f>"OP.PROD.ESPECIALIZADO III"</f>
        <v>OP.PROD.ESPECIALIZADO III</v>
      </c>
      <c r="D273" s="5">
        <v>100</v>
      </c>
      <c r="E273" s="4" t="str">
        <f>"Funcionário"</f>
        <v>Funcionário</v>
      </c>
    </row>
    <row r="274" spans="1:5">
      <c r="A274" s="4" t="str">
        <f t="shared" si="19"/>
        <v>1</v>
      </c>
      <c r="B274" s="4" t="str">
        <f>"LUIZ CARLOS DA SILVA"</f>
        <v>LUIZ CARLOS DA SILVA</v>
      </c>
      <c r="C274" s="4" t="str">
        <f>"TEC INDUSTRIAL ESPECIALIZADO"</f>
        <v>TEC INDUSTRIAL ESPECIALIZADO</v>
      </c>
      <c r="D274" s="5">
        <v>100</v>
      </c>
      <c r="E274" s="4" t="str">
        <f>"Aposentado"</f>
        <v>Aposentado</v>
      </c>
    </row>
    <row r="275" spans="1:5">
      <c r="A275" s="4" t="str">
        <f t="shared" si="19"/>
        <v>1</v>
      </c>
      <c r="B275" s="4" t="str">
        <f>"LUIZ CARLOS DE MELO SILVA"</f>
        <v>LUIZ CARLOS DE MELO SILVA</v>
      </c>
      <c r="C275" s="4" t="str">
        <f>"OFICIAL DE PRODUCAO INDUSTRIAL"</f>
        <v>OFICIAL DE PRODUCAO INDUSTRIAL</v>
      </c>
      <c r="D275" s="5">
        <v>100</v>
      </c>
      <c r="E275" s="4" t="str">
        <f>"Funcionário"</f>
        <v>Funcionário</v>
      </c>
    </row>
    <row r="276" spans="1:5">
      <c r="A276" s="4" t="str">
        <f t="shared" si="19"/>
        <v>1</v>
      </c>
      <c r="B276" s="4" t="str">
        <f>"LUIZ CARLOS MARTON"</f>
        <v>LUIZ CARLOS MARTON</v>
      </c>
      <c r="C276" s="4" t="str">
        <f>"ASSTE ADMINIST III"</f>
        <v>ASSTE ADMINIST III</v>
      </c>
      <c r="D276" s="5">
        <v>100</v>
      </c>
      <c r="E276" s="4" t="str">
        <f>"Funcionário"</f>
        <v>Funcionário</v>
      </c>
    </row>
    <row r="277" spans="1:5">
      <c r="A277" s="4" t="str">
        <f t="shared" si="19"/>
        <v>1</v>
      </c>
      <c r="B277" s="4" t="str">
        <f>"LUIZ CLAUDIO DOS SANTOS"</f>
        <v>LUIZ CLAUDIO DOS SANTOS</v>
      </c>
      <c r="C277" s="4" t="str">
        <f>"TEC INDUSTRIAL ESPECIALIZADO"</f>
        <v>TEC INDUSTRIAL ESPECIALIZADO</v>
      </c>
      <c r="D277" s="5">
        <v>100</v>
      </c>
      <c r="E277" s="4" t="str">
        <f>"Funcionário"</f>
        <v>Funcionário</v>
      </c>
    </row>
    <row r="278" spans="1:5">
      <c r="A278" s="4" t="str">
        <f t="shared" si="19"/>
        <v>1</v>
      </c>
      <c r="B278" s="4" t="str">
        <f>"LUIZ FELIPE M CAROLINO AQUINO DA SILVA"</f>
        <v>LUIZ FELIPE M CAROLINO AQUINO DA SILVA</v>
      </c>
      <c r="C278" s="4" t="str">
        <f>"TEC INDUSTRIAL ESPECIALIZADO"</f>
        <v>TEC INDUSTRIAL ESPECIALIZADO</v>
      </c>
      <c r="D278" s="5">
        <v>100</v>
      </c>
      <c r="E278" s="4" t="str">
        <f>"Funcionário"</f>
        <v>Funcionário</v>
      </c>
    </row>
    <row r="279" spans="1:5">
      <c r="A279" s="4" t="str">
        <f t="shared" si="19"/>
        <v>1</v>
      </c>
      <c r="B279" s="4" t="str">
        <f>"LUIZ FLORIANO TEIXEIRA"</f>
        <v>LUIZ FLORIANO TEIXEIRA</v>
      </c>
      <c r="C279" s="4" t="str">
        <f>"AUXILIAR TECNICO INDUSTRIAL"</f>
        <v>AUXILIAR TECNICO INDUSTRIAL</v>
      </c>
      <c r="D279" s="5">
        <v>100</v>
      </c>
      <c r="E279" s="4" t="str">
        <f>"Aposentado"</f>
        <v>Aposentado</v>
      </c>
    </row>
    <row r="280" spans="1:5">
      <c r="A280" s="4" t="str">
        <f t="shared" si="19"/>
        <v>1</v>
      </c>
      <c r="B280" s="4" t="str">
        <f>"LUIZ GONZAGA BATISTA INOCENCIO"</f>
        <v>LUIZ GONZAGA BATISTA INOCENCIO</v>
      </c>
      <c r="C280" s="4" t="str">
        <f>"OFICIAL DE PRODUCAO INDUSTRIAL"</f>
        <v>OFICIAL DE PRODUCAO INDUSTRIAL</v>
      </c>
      <c r="D280" s="5">
        <v>100</v>
      </c>
      <c r="E280" s="4" t="str">
        <f t="shared" ref="E280:E288" si="20">"Funcionário"</f>
        <v>Funcionário</v>
      </c>
    </row>
    <row r="281" spans="1:5">
      <c r="A281" s="4" t="str">
        <f t="shared" si="19"/>
        <v>1</v>
      </c>
      <c r="B281" s="4" t="str">
        <f>"LUIZ GUILHERME ARECO GOMES DA SILVA"</f>
        <v>LUIZ GUILHERME ARECO GOMES DA SILVA</v>
      </c>
      <c r="C281" s="4" t="str">
        <f>"ENGENHEIRO"</f>
        <v>ENGENHEIRO</v>
      </c>
      <c r="D281" s="5">
        <v>100</v>
      </c>
      <c r="E281" s="4" t="str">
        <f t="shared" si="20"/>
        <v>Funcionário</v>
      </c>
    </row>
    <row r="282" spans="1:5">
      <c r="A282" s="4" t="str">
        <f t="shared" si="19"/>
        <v>1</v>
      </c>
      <c r="B282" s="4" t="str">
        <f>"LUIZ HENRIQUE DOS SANTOS"</f>
        <v>LUIZ HENRIQUE DOS SANTOS</v>
      </c>
      <c r="C282" s="4" t="str">
        <f>"OP.PROD.ESPECIALIZADO II"</f>
        <v>OP.PROD.ESPECIALIZADO II</v>
      </c>
      <c r="D282" s="5">
        <v>100</v>
      </c>
      <c r="E282" s="4" t="str">
        <f t="shared" si="20"/>
        <v>Funcionário</v>
      </c>
    </row>
    <row r="283" spans="1:5">
      <c r="A283" s="4" t="str">
        <f t="shared" si="19"/>
        <v>1</v>
      </c>
      <c r="B283" s="4" t="str">
        <f>"LUIZ HENRIQUE GONCALVES DE ABREU"</f>
        <v>LUIZ HENRIQUE GONCALVES DE ABREU</v>
      </c>
      <c r="C283" s="4" t="str">
        <f>"OPER PRODUCAO III"</f>
        <v>OPER PRODUCAO III</v>
      </c>
      <c r="D283" s="5">
        <v>100</v>
      </c>
      <c r="E283" s="4" t="str">
        <f t="shared" si="20"/>
        <v>Funcionário</v>
      </c>
    </row>
    <row r="284" spans="1:5">
      <c r="A284" s="4" t="str">
        <f t="shared" si="19"/>
        <v>1</v>
      </c>
      <c r="B284" s="4" t="str">
        <f>"LUIZ ROBERTO DA SILVA PINTO"</f>
        <v>LUIZ ROBERTO DA SILVA PINTO</v>
      </c>
      <c r="C284" s="4" t="str">
        <f>"TEC INDUSTRIAL ESPECIALIZADO"</f>
        <v>TEC INDUSTRIAL ESPECIALIZADO</v>
      </c>
      <c r="D284" s="5">
        <v>100</v>
      </c>
      <c r="E284" s="4" t="str">
        <f t="shared" si="20"/>
        <v>Funcionário</v>
      </c>
    </row>
    <row r="285" spans="1:5">
      <c r="A285" s="4" t="str">
        <f t="shared" si="19"/>
        <v>1</v>
      </c>
      <c r="B285" s="4" t="str">
        <f>"LUIZ ROGERIO MASULCK VITORINO"</f>
        <v>LUIZ ROGERIO MASULCK VITORINO</v>
      </c>
      <c r="C285" s="4" t="str">
        <f>"OFICIAL DE PRODUCAO INDUSTRIAL"</f>
        <v>OFICIAL DE PRODUCAO INDUSTRIAL</v>
      </c>
      <c r="D285" s="5">
        <v>100</v>
      </c>
      <c r="E285" s="4" t="str">
        <f t="shared" si="20"/>
        <v>Funcionário</v>
      </c>
    </row>
    <row r="286" spans="1:5">
      <c r="A286" s="4" t="str">
        <f t="shared" si="19"/>
        <v>1</v>
      </c>
      <c r="B286" s="4" t="str">
        <f>"LYZA ARNAUD FARIA"</f>
        <v>LYZA ARNAUD FARIA</v>
      </c>
      <c r="C286" s="4" t="str">
        <f>"OFICIAL DE PRODUCAO INDUSTRIAL"</f>
        <v>OFICIAL DE PRODUCAO INDUSTRIAL</v>
      </c>
      <c r="D286" s="5">
        <v>100</v>
      </c>
      <c r="E286" s="4" t="str">
        <f t="shared" si="20"/>
        <v>Funcionário</v>
      </c>
    </row>
    <row r="287" spans="1:5">
      <c r="A287" s="4" t="str">
        <f t="shared" si="19"/>
        <v>1</v>
      </c>
      <c r="B287" s="4" t="str">
        <f>"MARCELO COSTA"</f>
        <v>MARCELO COSTA</v>
      </c>
      <c r="C287" s="4" t="str">
        <f>"OFICIAL DE PRODUCAO INDUSTRIAL"</f>
        <v>OFICIAL DE PRODUCAO INDUSTRIAL</v>
      </c>
      <c r="D287" s="5">
        <v>100</v>
      </c>
      <c r="E287" s="4" t="str">
        <f t="shared" si="20"/>
        <v>Funcionário</v>
      </c>
    </row>
    <row r="288" spans="1:5">
      <c r="A288" s="4" t="str">
        <f t="shared" si="19"/>
        <v>1</v>
      </c>
      <c r="B288" s="4" t="str">
        <f>"MARCELO GARCIA SILVA DE AQUINO"</f>
        <v>MARCELO GARCIA SILVA DE AQUINO</v>
      </c>
      <c r="C288" s="4" t="str">
        <f>"ENGENHEIRO"</f>
        <v>ENGENHEIRO</v>
      </c>
      <c r="D288" s="5">
        <v>100</v>
      </c>
      <c r="E288" s="4" t="str">
        <f t="shared" si="20"/>
        <v>Funcionário</v>
      </c>
    </row>
    <row r="289" spans="1:5">
      <c r="A289" s="4" t="str">
        <f t="shared" si="19"/>
        <v>1</v>
      </c>
      <c r="B289" s="4" t="str">
        <f>"MARCIO DE SOUSA SANTOS"</f>
        <v>MARCIO DE SOUSA SANTOS</v>
      </c>
      <c r="C289" s="4" t="str">
        <f>"OFICIAL DE PRODUCAO INDUSTRIAL"</f>
        <v>OFICIAL DE PRODUCAO INDUSTRIAL</v>
      </c>
      <c r="D289" s="5">
        <v>100</v>
      </c>
      <c r="E289" s="4" t="str">
        <f>"Prazo Determinado"</f>
        <v>Prazo Determinado</v>
      </c>
    </row>
    <row r="290" spans="1:5">
      <c r="A290" s="4" t="str">
        <f t="shared" si="19"/>
        <v>1</v>
      </c>
      <c r="B290" s="4" t="str">
        <f>"MARCO ANTONIO JERONYMO"</f>
        <v>MARCO ANTONIO JERONYMO</v>
      </c>
      <c r="C290" s="4" t="str">
        <f>"OFICIAL DE PRODUCAO INDUSTRIAL"</f>
        <v>OFICIAL DE PRODUCAO INDUSTRIAL</v>
      </c>
      <c r="D290" s="5">
        <v>100</v>
      </c>
      <c r="E290" s="4" t="str">
        <f>"Aposentado"</f>
        <v>Aposentado</v>
      </c>
    </row>
    <row r="291" spans="1:5">
      <c r="A291" s="4" t="str">
        <f t="shared" si="19"/>
        <v>1</v>
      </c>
      <c r="B291" s="4" t="str">
        <f>"MARCO ANTONIO RIBEIRO"</f>
        <v>MARCO ANTONIO RIBEIRO</v>
      </c>
      <c r="C291" s="4" t="str">
        <f>"AUX TECNICO ADMINISTRATIVO"</f>
        <v>AUX TECNICO ADMINISTRATIVO</v>
      </c>
      <c r="D291" s="5">
        <v>100</v>
      </c>
      <c r="E291" s="4" t="str">
        <f>"Funcionário"</f>
        <v>Funcionário</v>
      </c>
    </row>
    <row r="292" spans="1:5">
      <c r="A292" s="4" t="str">
        <f t="shared" si="19"/>
        <v>1</v>
      </c>
      <c r="B292" s="4" t="str">
        <f>"MARCO ANTONIO SOTORIVA"</f>
        <v>MARCO ANTONIO SOTORIVA</v>
      </c>
      <c r="C292" s="4" t="str">
        <f>"MILITAR DA ATIVA"</f>
        <v>MILITAR DA ATIVA</v>
      </c>
      <c r="D292" s="5">
        <v>105</v>
      </c>
      <c r="E292" s="4" t="str">
        <f>"Funcionário"</f>
        <v>Funcionário</v>
      </c>
    </row>
    <row r="293" spans="1:5">
      <c r="A293" s="4" t="str">
        <f t="shared" si="19"/>
        <v>1</v>
      </c>
      <c r="B293" s="4" t="str">
        <f>"MARCOS ANTONIO DA SILVA"</f>
        <v>MARCOS ANTONIO DA SILVA</v>
      </c>
      <c r="C293" s="4" t="str">
        <f>"AUXILIAR TECNICO INDUSTRIAL"</f>
        <v>AUXILIAR TECNICO INDUSTRIAL</v>
      </c>
      <c r="D293" s="5">
        <v>100</v>
      </c>
      <c r="E293" s="4" t="str">
        <f>"Aposentado"</f>
        <v>Aposentado</v>
      </c>
    </row>
    <row r="294" spans="1:5">
      <c r="A294" s="4" t="str">
        <f t="shared" si="19"/>
        <v>1</v>
      </c>
      <c r="B294" s="4" t="str">
        <f>"MARCOS GALVAO DO PRADO"</f>
        <v>MARCOS GALVAO DO PRADO</v>
      </c>
      <c r="C294" s="4" t="str">
        <f>"ENGENHEIRO"</f>
        <v>ENGENHEIRO</v>
      </c>
      <c r="D294" s="5">
        <v>100</v>
      </c>
      <c r="E294" s="4" t="str">
        <f>"Aposentado"</f>
        <v>Aposentado</v>
      </c>
    </row>
    <row r="295" spans="1:5">
      <c r="A295" s="4" t="str">
        <f t="shared" si="19"/>
        <v>1</v>
      </c>
      <c r="B295" s="4" t="str">
        <f>"MARCOS RIBEIRO DOS SANTOS"</f>
        <v>MARCOS RIBEIRO DOS SANTOS</v>
      </c>
      <c r="C295" s="4" t="str">
        <f>"AGENTE DE APOIO OPERACIONAL"</f>
        <v>AGENTE DE APOIO OPERACIONAL</v>
      </c>
      <c r="D295" s="5">
        <v>100</v>
      </c>
      <c r="E295" s="4" t="str">
        <f>"Funcionário"</f>
        <v>Funcionário</v>
      </c>
    </row>
    <row r="296" spans="1:5">
      <c r="A296" s="4" t="str">
        <f t="shared" si="19"/>
        <v>1</v>
      </c>
      <c r="B296" s="4" t="str">
        <f>"MARCOS SAVIO VENANCIO"</f>
        <v>MARCOS SAVIO VENANCIO</v>
      </c>
      <c r="C296" s="4" t="str">
        <f>"AUX TECNICO ADMINISTRATIVO"</f>
        <v>AUX TECNICO ADMINISTRATIVO</v>
      </c>
      <c r="D296" s="5">
        <v>100</v>
      </c>
      <c r="E296" s="4" t="str">
        <f>"Funcionário"</f>
        <v>Funcionário</v>
      </c>
    </row>
    <row r="297" spans="1:5">
      <c r="A297" s="4" t="str">
        <f t="shared" si="19"/>
        <v>1</v>
      </c>
      <c r="B297" s="4" t="str">
        <f>"MARCOS VINICIUS KACZOROVSKI SILVA"</f>
        <v>MARCOS VINICIUS KACZOROVSKI SILVA</v>
      </c>
      <c r="C297" s="4" t="str">
        <f>"OFICIAL DE PRODUCAO INDUSTRIAL"</f>
        <v>OFICIAL DE PRODUCAO INDUSTRIAL</v>
      </c>
      <c r="D297" s="5">
        <v>100</v>
      </c>
      <c r="E297" s="4" t="str">
        <f>"Funcionário"</f>
        <v>Funcionário</v>
      </c>
    </row>
    <row r="298" spans="1:5">
      <c r="A298" s="4" t="str">
        <f t="shared" si="19"/>
        <v>1</v>
      </c>
      <c r="B298" s="4" t="str">
        <f>"MARIA AUXILIADORA DOS SANTOS"</f>
        <v>MARIA AUXILIADORA DOS SANTOS</v>
      </c>
      <c r="C298" s="4" t="str">
        <f>"AGENTE DE APOIO OPERACIONAL"</f>
        <v>AGENTE DE APOIO OPERACIONAL</v>
      </c>
      <c r="D298" s="5">
        <v>100</v>
      </c>
      <c r="E298" s="4" t="str">
        <f>"Aposentado"</f>
        <v>Aposentado</v>
      </c>
    </row>
    <row r="299" spans="1:5">
      <c r="A299" s="4" t="str">
        <f t="shared" si="19"/>
        <v>1</v>
      </c>
      <c r="B299" s="4" t="str">
        <f>"MARIA DEILDA F DOS SANTOS LACERDA"</f>
        <v>MARIA DEILDA F DOS SANTOS LACERDA</v>
      </c>
      <c r="C299" s="4" t="str">
        <f>"OFICIAL DE PRODUCAO INDUSTRIAL"</f>
        <v>OFICIAL DE PRODUCAO INDUSTRIAL</v>
      </c>
      <c r="D299" s="5">
        <v>100</v>
      </c>
      <c r="E299" s="4" t="str">
        <f>"Funcionário"</f>
        <v>Funcionário</v>
      </c>
    </row>
    <row r="300" spans="1:5">
      <c r="A300" s="4" t="str">
        <f t="shared" si="19"/>
        <v>1</v>
      </c>
      <c r="B300" s="4" t="str">
        <f>"MARIA JOSE DOS SANTOS"</f>
        <v>MARIA JOSE DOS SANTOS</v>
      </c>
      <c r="C300" s="4" t="str">
        <f>"AUX TECNICO ADMINISTRATIVO"</f>
        <v>AUX TECNICO ADMINISTRATIVO</v>
      </c>
      <c r="D300" s="5">
        <v>100</v>
      </c>
      <c r="E300" s="4" t="str">
        <f>"Funcionário"</f>
        <v>Funcionário</v>
      </c>
    </row>
    <row r="301" spans="1:5">
      <c r="A301" s="4" t="str">
        <f t="shared" si="19"/>
        <v>1</v>
      </c>
      <c r="B301" s="4" t="str">
        <f>"MARIA PADILHA LEAL FARIA"</f>
        <v>MARIA PADILHA LEAL FARIA</v>
      </c>
      <c r="C301" s="4" t="str">
        <f>"TECNICO ADM ESPECIALIZADO"</f>
        <v>TECNICO ADM ESPECIALIZADO</v>
      </c>
      <c r="D301" s="5">
        <v>100</v>
      </c>
      <c r="E301" s="4" t="str">
        <f>"Funcionário"</f>
        <v>Funcionário</v>
      </c>
    </row>
    <row r="302" spans="1:5">
      <c r="A302" s="4" t="str">
        <f t="shared" si="19"/>
        <v>1</v>
      </c>
      <c r="B302" s="4" t="str">
        <f>"MARILDO RAIMUNDO ROSA"</f>
        <v>MARILDO RAIMUNDO ROSA</v>
      </c>
      <c r="C302" s="4" t="str">
        <f>"AUX TECNICO ADMINISTRATIVO"</f>
        <v>AUX TECNICO ADMINISTRATIVO</v>
      </c>
      <c r="D302" s="5">
        <v>100</v>
      </c>
      <c r="E302" s="4" t="str">
        <f>"Funcionário"</f>
        <v>Funcionário</v>
      </c>
    </row>
    <row r="303" spans="1:5">
      <c r="A303" s="4" t="str">
        <f t="shared" si="19"/>
        <v>1</v>
      </c>
      <c r="B303" s="4" t="str">
        <f>"MARINA SIQUEIRA DA SILVA"</f>
        <v>MARINA SIQUEIRA DA SILVA</v>
      </c>
      <c r="C303" s="4" t="str">
        <f>"APRENDIZ- ADMINISTRATIVO"</f>
        <v>APRENDIZ- ADMINISTRATIVO</v>
      </c>
      <c r="D303" s="5">
        <v>103</v>
      </c>
      <c r="E303" s="4" t="str">
        <f>"Aprendiz"</f>
        <v>Aprendiz</v>
      </c>
    </row>
    <row r="304" spans="1:5">
      <c r="A304" s="4" t="str">
        <f t="shared" si="19"/>
        <v>1</v>
      </c>
      <c r="B304" s="4" t="str">
        <f>"MARINEIA SOARES DE ABREU"</f>
        <v>MARINEIA SOARES DE ABREU</v>
      </c>
      <c r="C304" s="4" t="str">
        <f>"AUX TECNICO ADMINISTRATIVO"</f>
        <v>AUX TECNICO ADMINISTRATIVO</v>
      </c>
      <c r="D304" s="5">
        <v>100</v>
      </c>
      <c r="E304" s="4" t="str">
        <f t="shared" ref="E304:E309" si="21">"Funcionário"</f>
        <v>Funcionário</v>
      </c>
    </row>
    <row r="305" spans="1:5">
      <c r="A305" s="4" t="str">
        <f t="shared" si="19"/>
        <v>1</v>
      </c>
      <c r="B305" s="4" t="str">
        <f>"MARIO FERNANDO CAVALCANTI DE LIMA NETO"</f>
        <v>MARIO FERNANDO CAVALCANTI DE LIMA NETO</v>
      </c>
      <c r="C305" s="4" t="str">
        <f>"OFICIAL DE PRODUCAO INDUSTRIAL"</f>
        <v>OFICIAL DE PRODUCAO INDUSTRIAL</v>
      </c>
      <c r="D305" s="5">
        <v>100</v>
      </c>
      <c r="E305" s="4" t="str">
        <f t="shared" si="21"/>
        <v>Funcionário</v>
      </c>
    </row>
    <row r="306" spans="1:5">
      <c r="A306" s="4" t="str">
        <f t="shared" si="19"/>
        <v>1</v>
      </c>
      <c r="B306" s="4" t="str">
        <f>"MARIO SERGIO DA SILVA GONÇALVES"</f>
        <v>MARIO SERGIO DA SILVA GONÇALVES</v>
      </c>
      <c r="C306" s="4" t="str">
        <f>"OFICIAL DE PRODUCAO INDUSTRIAL"</f>
        <v>OFICIAL DE PRODUCAO INDUSTRIAL</v>
      </c>
      <c r="D306" s="5">
        <v>100</v>
      </c>
      <c r="E306" s="4" t="str">
        <f t="shared" si="21"/>
        <v>Funcionário</v>
      </c>
    </row>
    <row r="307" spans="1:5">
      <c r="A307" s="4" t="str">
        <f t="shared" si="19"/>
        <v>1</v>
      </c>
      <c r="B307" s="4" t="str">
        <f>"MATEUS FONTENLA DAMAS NUNES"</f>
        <v>MATEUS FONTENLA DAMAS NUNES</v>
      </c>
      <c r="C307" s="4" t="str">
        <f>"TECNICO SEGURANÇA DO TRABALHO"</f>
        <v>TECNICO SEGURANÇA DO TRABALHO</v>
      </c>
      <c r="D307" s="5">
        <v>100</v>
      </c>
      <c r="E307" s="4" t="str">
        <f t="shared" si="21"/>
        <v>Funcionário</v>
      </c>
    </row>
    <row r="308" spans="1:5">
      <c r="A308" s="4" t="str">
        <f t="shared" si="19"/>
        <v>1</v>
      </c>
      <c r="B308" s="4" t="str">
        <f>"MATEUS SILVA LOBAO DE OLIVEIRA"</f>
        <v>MATEUS SILVA LOBAO DE OLIVEIRA</v>
      </c>
      <c r="C308" s="4" t="str">
        <f>"TEC INDUSTRIAL ESPECIALIZADO"</f>
        <v>TEC INDUSTRIAL ESPECIALIZADO</v>
      </c>
      <c r="D308" s="5">
        <v>100</v>
      </c>
      <c r="E308" s="4" t="str">
        <f t="shared" si="21"/>
        <v>Funcionário</v>
      </c>
    </row>
    <row r="309" spans="1:5">
      <c r="A309" s="4" t="str">
        <f t="shared" si="19"/>
        <v>1</v>
      </c>
      <c r="B309" s="4" t="str">
        <f>"MATEUS TELMON GONÇALVES"</f>
        <v>MATEUS TELMON GONÇALVES</v>
      </c>
      <c r="C309" s="4" t="str">
        <f>"AUXILIAR TECNICO INDUSTRIAL"</f>
        <v>AUXILIAR TECNICO INDUSTRIAL</v>
      </c>
      <c r="D309" s="5">
        <v>100</v>
      </c>
      <c r="E309" s="4" t="str">
        <f t="shared" si="21"/>
        <v>Funcionário</v>
      </c>
    </row>
    <row r="310" spans="1:5">
      <c r="A310" s="4" t="str">
        <f t="shared" si="19"/>
        <v>1</v>
      </c>
      <c r="B310" s="4" t="str">
        <f>"MAURO JOSE DA SILVA"</f>
        <v>MAURO JOSE DA SILVA</v>
      </c>
      <c r="C310" s="4" t="str">
        <f>"ESPECIALISTA"</f>
        <v>ESPECIALISTA</v>
      </c>
      <c r="D310" s="5">
        <v>100</v>
      </c>
      <c r="E310" s="4" t="str">
        <f>"Aposentado"</f>
        <v>Aposentado</v>
      </c>
    </row>
    <row r="311" spans="1:5">
      <c r="A311" s="4" t="str">
        <f t="shared" si="19"/>
        <v>1</v>
      </c>
      <c r="B311" s="4" t="str">
        <f>"MAYARA CRISTINA DOS SANTOS VITAL"</f>
        <v>MAYARA CRISTINA DOS SANTOS VITAL</v>
      </c>
      <c r="C311" s="4" t="str">
        <f>"APRENDIZ- PRODUÇÃO"</f>
        <v>APRENDIZ- PRODUÇÃO</v>
      </c>
      <c r="D311" s="5">
        <v>103</v>
      </c>
      <c r="E311" s="4" t="str">
        <f>"Aprendiz"</f>
        <v>Aprendiz</v>
      </c>
    </row>
    <row r="312" spans="1:5">
      <c r="A312" s="4" t="str">
        <f t="shared" si="19"/>
        <v>1</v>
      </c>
      <c r="B312" s="4" t="str">
        <f>"MELISSA APARECIDA DA SILVA ALMEIDA"</f>
        <v>MELISSA APARECIDA DA SILVA ALMEIDA</v>
      </c>
      <c r="C312" s="4" t="str">
        <f>"OFICIAL DE PRODUCAO INDUSTRIAL"</f>
        <v>OFICIAL DE PRODUCAO INDUSTRIAL</v>
      </c>
      <c r="D312" s="5">
        <v>100</v>
      </c>
      <c r="E312" s="4" t="str">
        <f t="shared" ref="E312:E321" si="22">"Funcionário"</f>
        <v>Funcionário</v>
      </c>
    </row>
    <row r="313" spans="1:5">
      <c r="A313" s="4" t="str">
        <f t="shared" si="19"/>
        <v>1</v>
      </c>
      <c r="B313" s="4" t="str">
        <f>"MESSIAS RODRIGUES DA MOTTA SILVA"</f>
        <v>MESSIAS RODRIGUES DA MOTTA SILVA</v>
      </c>
      <c r="C313" s="4" t="str">
        <f>"TEC INDUSTRIAL ESPECIALIZADO"</f>
        <v>TEC INDUSTRIAL ESPECIALIZADO</v>
      </c>
      <c r="D313" s="5">
        <v>100</v>
      </c>
      <c r="E313" s="4" t="str">
        <f t="shared" si="22"/>
        <v>Funcionário</v>
      </c>
    </row>
    <row r="314" spans="1:5">
      <c r="A314" s="4" t="str">
        <f t="shared" si="19"/>
        <v>1</v>
      </c>
      <c r="B314" s="4" t="str">
        <f>"MICHEL MARCIO DE FARIA ABREU"</f>
        <v>MICHEL MARCIO DE FARIA ABREU</v>
      </c>
      <c r="C314" s="4" t="str">
        <f>"OFICIAL DE PRODUCAO INDUSTRIAL"</f>
        <v>OFICIAL DE PRODUCAO INDUSTRIAL</v>
      </c>
      <c r="D314" s="5">
        <v>100</v>
      </c>
      <c r="E314" s="4" t="str">
        <f t="shared" si="22"/>
        <v>Funcionário</v>
      </c>
    </row>
    <row r="315" spans="1:5">
      <c r="A315" s="4" t="str">
        <f t="shared" si="19"/>
        <v>1</v>
      </c>
      <c r="B315" s="4" t="str">
        <f>"MICHEL VITORINO"</f>
        <v>MICHEL VITORINO</v>
      </c>
      <c r="C315" s="4" t="str">
        <f>"OFICIAL DE PRODUCAO INDUSTRIAL"</f>
        <v>OFICIAL DE PRODUCAO INDUSTRIAL</v>
      </c>
      <c r="D315" s="5">
        <v>100</v>
      </c>
      <c r="E315" s="4" t="str">
        <f t="shared" si="22"/>
        <v>Funcionário</v>
      </c>
    </row>
    <row r="316" spans="1:5">
      <c r="A316" s="4" t="str">
        <f t="shared" si="19"/>
        <v>1</v>
      </c>
      <c r="B316" s="4" t="str">
        <f>"MIGUEL FELIX REZENDE"</f>
        <v>MIGUEL FELIX REZENDE</v>
      </c>
      <c r="C316" s="4" t="str">
        <f>"OPER PRODUCAO III"</f>
        <v>OPER PRODUCAO III</v>
      </c>
      <c r="D316" s="5">
        <v>100</v>
      </c>
      <c r="E316" s="4" t="str">
        <f t="shared" si="22"/>
        <v>Funcionário</v>
      </c>
    </row>
    <row r="317" spans="1:5">
      <c r="A317" s="4" t="str">
        <f t="shared" si="19"/>
        <v>1</v>
      </c>
      <c r="B317" s="4" t="str">
        <f>"MONIQUE DE MEDEIROS TAKENOUCHI"</f>
        <v>MONIQUE DE MEDEIROS TAKENOUCHI</v>
      </c>
      <c r="C317" s="4" t="str">
        <f>"ENGENHEIRO"</f>
        <v>ENGENHEIRO</v>
      </c>
      <c r="D317" s="5">
        <v>100</v>
      </c>
      <c r="E317" s="4" t="str">
        <f t="shared" si="22"/>
        <v>Funcionário</v>
      </c>
    </row>
    <row r="318" spans="1:5">
      <c r="A318" s="4" t="str">
        <f t="shared" si="19"/>
        <v>1</v>
      </c>
      <c r="B318" s="4" t="str">
        <f>"MONIQUE MACHADO ROSA"</f>
        <v>MONIQUE MACHADO ROSA</v>
      </c>
      <c r="C318" s="4" t="str">
        <f>"OFICIAL DE PRODUCAO INDUSTRIAL"</f>
        <v>OFICIAL DE PRODUCAO INDUSTRIAL</v>
      </c>
      <c r="D318" s="5">
        <v>100</v>
      </c>
      <c r="E318" s="4" t="str">
        <f t="shared" si="22"/>
        <v>Funcionário</v>
      </c>
    </row>
    <row r="319" spans="1:5">
      <c r="A319" s="4" t="str">
        <f t="shared" si="19"/>
        <v>1</v>
      </c>
      <c r="B319" s="4" t="str">
        <f>"MUNIQUE BARBARA VASCONCELLOS LOPES DE AZ"</f>
        <v>MUNIQUE BARBARA VASCONCELLOS LOPES DE AZ</v>
      </c>
      <c r="C319" s="4" t="str">
        <f>"TECNICO ADM ESPECIALIZADO"</f>
        <v>TECNICO ADM ESPECIALIZADO</v>
      </c>
      <c r="D319" s="5">
        <v>100</v>
      </c>
      <c r="E319" s="4" t="str">
        <f t="shared" si="22"/>
        <v>Funcionário</v>
      </c>
    </row>
    <row r="320" spans="1:5">
      <c r="A320" s="4" t="str">
        <f t="shared" si="19"/>
        <v>1</v>
      </c>
      <c r="B320" s="4" t="str">
        <f>"NATALIA DA MOTA FRAGA"</f>
        <v>NATALIA DA MOTA FRAGA</v>
      </c>
      <c r="C320" s="4" t="str">
        <f>"OFICIAL DE PRODUCAO INDUSTRIAL"</f>
        <v>OFICIAL DE PRODUCAO INDUSTRIAL</v>
      </c>
      <c r="D320" s="5">
        <v>100</v>
      </c>
      <c r="E320" s="4" t="str">
        <f t="shared" si="22"/>
        <v>Funcionário</v>
      </c>
    </row>
    <row r="321" spans="1:5">
      <c r="A321" s="4" t="str">
        <f t="shared" si="19"/>
        <v>1</v>
      </c>
      <c r="B321" s="4" t="str">
        <f>"NATHAN DE SOUZA ARAUJO"</f>
        <v>NATHAN DE SOUZA ARAUJO</v>
      </c>
      <c r="C321" s="4" t="str">
        <f>"MILITAR DA ATIVA"</f>
        <v>MILITAR DA ATIVA</v>
      </c>
      <c r="D321" s="5">
        <v>105</v>
      </c>
      <c r="E321" s="4" t="str">
        <f t="shared" si="22"/>
        <v>Funcionário</v>
      </c>
    </row>
    <row r="322" spans="1:5">
      <c r="A322" s="4" t="str">
        <f t="shared" si="19"/>
        <v>1</v>
      </c>
      <c r="B322" s="4" t="str">
        <f>"NEDILSON AUGUSTO RIBEIRO"</f>
        <v>NEDILSON AUGUSTO RIBEIRO</v>
      </c>
      <c r="C322" s="4" t="str">
        <f>"TEC INDUSTRIAL ESPECIALIZADO"</f>
        <v>TEC INDUSTRIAL ESPECIALIZADO</v>
      </c>
      <c r="D322" s="5">
        <v>100</v>
      </c>
      <c r="E322" s="4" t="str">
        <f>"Aposentado"</f>
        <v>Aposentado</v>
      </c>
    </row>
    <row r="323" spans="1:5">
      <c r="A323" s="4" t="str">
        <f t="shared" ref="A323:A386" si="23">"1"</f>
        <v>1</v>
      </c>
      <c r="B323" s="4" t="str">
        <f>"NELCI CILEUSA MENDES"</f>
        <v>NELCI CILEUSA MENDES</v>
      </c>
      <c r="C323" s="4" t="str">
        <f>"ESPECIALISTA"</f>
        <v>ESPECIALISTA</v>
      </c>
      <c r="D323" s="5">
        <v>100</v>
      </c>
      <c r="E323" s="4" t="str">
        <f>"Funcionário"</f>
        <v>Funcionário</v>
      </c>
    </row>
    <row r="324" spans="1:5">
      <c r="A324" s="4" t="str">
        <f t="shared" si="23"/>
        <v>1</v>
      </c>
      <c r="B324" s="4" t="str">
        <f>"NEY OLIVEIRA RIBEIRO DA SILVA"</f>
        <v>NEY OLIVEIRA RIBEIRO DA SILVA</v>
      </c>
      <c r="C324" s="4" t="str">
        <f>"AUXILIAR TECNICO INDUSTRIAL"</f>
        <v>AUXILIAR TECNICO INDUSTRIAL</v>
      </c>
      <c r="D324" s="5">
        <v>100</v>
      </c>
      <c r="E324" s="4" t="str">
        <f>"Aposentado"</f>
        <v>Aposentado</v>
      </c>
    </row>
    <row r="325" spans="1:5">
      <c r="A325" s="4" t="str">
        <f t="shared" si="23"/>
        <v>1</v>
      </c>
      <c r="B325" s="4" t="str">
        <f>"NICOLAS DE LIMA MOURA"</f>
        <v>NICOLAS DE LIMA MOURA</v>
      </c>
      <c r="C325" s="4" t="str">
        <f>"APRENDIZ- ADMINISTRATIVO"</f>
        <v>APRENDIZ- ADMINISTRATIVO</v>
      </c>
      <c r="D325" s="5">
        <v>103</v>
      </c>
      <c r="E325" s="4" t="str">
        <f>"Aprendiz"</f>
        <v>Aprendiz</v>
      </c>
    </row>
    <row r="326" spans="1:5">
      <c r="A326" s="4" t="str">
        <f t="shared" si="23"/>
        <v>1</v>
      </c>
      <c r="B326" s="4" t="str">
        <f>"NICOLAS RAMOS MENDES MENGUI"</f>
        <v>NICOLAS RAMOS MENDES MENGUI</v>
      </c>
      <c r="C326" s="4" t="str">
        <f>"TECNICO ADM ESPECIALIZADO"</f>
        <v>TECNICO ADM ESPECIALIZADO</v>
      </c>
      <c r="D326" s="5">
        <v>100</v>
      </c>
      <c r="E326" s="4" t="str">
        <f>"Funcionário"</f>
        <v>Funcionário</v>
      </c>
    </row>
    <row r="327" spans="1:5">
      <c r="A327" s="4" t="str">
        <f t="shared" si="23"/>
        <v>1</v>
      </c>
      <c r="B327" s="4" t="str">
        <f>"OTAVIO AUGUSTO LOURENCO COUTO"</f>
        <v>OTAVIO AUGUSTO LOURENCO COUTO</v>
      </c>
      <c r="C327" s="4" t="str">
        <f>"OFICIAL DE PRODUCAO INDUSTRIAL"</f>
        <v>OFICIAL DE PRODUCAO INDUSTRIAL</v>
      </c>
      <c r="D327" s="5">
        <v>100</v>
      </c>
      <c r="E327" s="4" t="str">
        <f>"Funcionário"</f>
        <v>Funcionário</v>
      </c>
    </row>
    <row r="328" spans="1:5">
      <c r="A328" s="4" t="str">
        <f t="shared" si="23"/>
        <v>1</v>
      </c>
      <c r="B328" s="4" t="str">
        <f>"PAULO ANDRE RIBEIRO DE ALMEIDA"</f>
        <v>PAULO ANDRE RIBEIRO DE ALMEIDA</v>
      </c>
      <c r="C328" s="4" t="str">
        <f>"APRENDIZ- PRODUÇÃO"</f>
        <v>APRENDIZ- PRODUÇÃO</v>
      </c>
      <c r="D328" s="5">
        <v>103</v>
      </c>
      <c r="E328" s="4" t="str">
        <f>"Aprendiz"</f>
        <v>Aprendiz</v>
      </c>
    </row>
    <row r="329" spans="1:5">
      <c r="A329" s="4" t="str">
        <f t="shared" si="23"/>
        <v>1</v>
      </c>
      <c r="B329" s="4" t="str">
        <f>"PAULO DIVINO BATISTA"</f>
        <v>PAULO DIVINO BATISTA</v>
      </c>
      <c r="C329" s="4" t="str">
        <f>"AGENTE DE APOIO OPERACIONAL"</f>
        <v>AGENTE DE APOIO OPERACIONAL</v>
      </c>
      <c r="D329" s="5">
        <v>100</v>
      </c>
      <c r="E329" s="4" t="str">
        <f>"Funcionário"</f>
        <v>Funcionário</v>
      </c>
    </row>
    <row r="330" spans="1:5">
      <c r="A330" s="4" t="str">
        <f t="shared" si="23"/>
        <v>1</v>
      </c>
      <c r="B330" s="4" t="str">
        <f>"PAULO FERNANDO MACHADO RIBEIRO"</f>
        <v>PAULO FERNANDO MACHADO RIBEIRO</v>
      </c>
      <c r="C330" s="4" t="str">
        <f>"AGENTE DE APOIO OPERACIONAL"</f>
        <v>AGENTE DE APOIO OPERACIONAL</v>
      </c>
      <c r="D330" s="5">
        <v>100</v>
      </c>
      <c r="E330" s="4" t="str">
        <f>"Funcionário"</f>
        <v>Funcionário</v>
      </c>
    </row>
    <row r="331" spans="1:5">
      <c r="A331" s="4" t="str">
        <f t="shared" si="23"/>
        <v>1</v>
      </c>
      <c r="B331" s="4" t="str">
        <f>"PAULO HENRIQUE GONCALVES"</f>
        <v>PAULO HENRIQUE GONCALVES</v>
      </c>
      <c r="C331" s="4" t="str">
        <f>"AUX TECNICO ADMINISTRATIVO"</f>
        <v>AUX TECNICO ADMINISTRATIVO</v>
      </c>
      <c r="D331" s="5">
        <v>100</v>
      </c>
      <c r="E331" s="4" t="str">
        <f>"Aposentado"</f>
        <v>Aposentado</v>
      </c>
    </row>
    <row r="332" spans="1:5">
      <c r="A332" s="4" t="str">
        <f t="shared" si="23"/>
        <v>1</v>
      </c>
      <c r="B332" s="4" t="str">
        <f>"PAULO MARCELO LIMA RAMALHO"</f>
        <v>PAULO MARCELO LIMA RAMALHO</v>
      </c>
      <c r="C332" s="4" t="str">
        <f>"MOTORISTA MOP"</f>
        <v>MOTORISTA MOP</v>
      </c>
      <c r="D332" s="5">
        <v>100</v>
      </c>
      <c r="E332" s="4" t="str">
        <f>"Funcionário"</f>
        <v>Funcionário</v>
      </c>
    </row>
    <row r="333" spans="1:5">
      <c r="A333" s="4" t="str">
        <f t="shared" si="23"/>
        <v>1</v>
      </c>
      <c r="B333" s="4" t="str">
        <f>"PAULO RICARDO FERREIRA DE CARVALHO"</f>
        <v>PAULO RICARDO FERREIRA DE CARVALHO</v>
      </c>
      <c r="C333" s="4" t="str">
        <f>"TEC INDUSTRIAL ESPECIALIZADO"</f>
        <v>TEC INDUSTRIAL ESPECIALIZADO</v>
      </c>
      <c r="D333" s="5">
        <v>100</v>
      </c>
      <c r="E333" s="4" t="str">
        <f>"Funcionário"</f>
        <v>Funcionário</v>
      </c>
    </row>
    <row r="334" spans="1:5">
      <c r="A334" s="4" t="str">
        <f t="shared" si="23"/>
        <v>1</v>
      </c>
      <c r="B334" s="4" t="str">
        <f>"PAULO SERGIO ROSSATO CARDOSO PONTES"</f>
        <v>PAULO SERGIO ROSSATO CARDOSO PONTES</v>
      </c>
      <c r="C334" s="4" t="str">
        <f>"TEC INDUSTRIAL ESPECIALIZADO"</f>
        <v>TEC INDUSTRIAL ESPECIALIZADO</v>
      </c>
      <c r="D334" s="5">
        <v>100</v>
      </c>
      <c r="E334" s="4" t="str">
        <f>"Funcionário"</f>
        <v>Funcionário</v>
      </c>
    </row>
    <row r="335" spans="1:5">
      <c r="A335" s="4" t="str">
        <f t="shared" si="23"/>
        <v>1</v>
      </c>
      <c r="B335" s="4" t="str">
        <f>"PEDRO ANDRE DOS SANTOS LODI"</f>
        <v>PEDRO ANDRE DOS SANTOS LODI</v>
      </c>
      <c r="C335" s="4" t="str">
        <f>"APRENDIZ- PRODUÇÃO"</f>
        <v>APRENDIZ- PRODUÇÃO</v>
      </c>
      <c r="D335" s="5">
        <v>103</v>
      </c>
      <c r="E335" s="4" t="str">
        <f>"Aprendiz"</f>
        <v>Aprendiz</v>
      </c>
    </row>
    <row r="336" spans="1:5">
      <c r="A336" s="4" t="str">
        <f t="shared" si="23"/>
        <v>1</v>
      </c>
      <c r="B336" s="4" t="str">
        <f>"PEDRO CESAR DE SIQUEIRA"</f>
        <v>PEDRO CESAR DE SIQUEIRA</v>
      </c>
      <c r="C336" s="4" t="str">
        <f>"GUARDA DE SEG. PATRIMONIAL"</f>
        <v>GUARDA DE SEG. PATRIMONIAL</v>
      </c>
      <c r="D336" s="5">
        <v>100</v>
      </c>
      <c r="E336" s="4" t="str">
        <f>"Aposentado"</f>
        <v>Aposentado</v>
      </c>
    </row>
    <row r="337" spans="1:5">
      <c r="A337" s="4" t="str">
        <f t="shared" si="23"/>
        <v>1</v>
      </c>
      <c r="B337" s="4" t="str">
        <f>"PEDRO IGNACIO PEREIRA"</f>
        <v>PEDRO IGNACIO PEREIRA</v>
      </c>
      <c r="C337" s="4" t="str">
        <f>"APRENDIZ- PRODUÇÃO"</f>
        <v>APRENDIZ- PRODUÇÃO</v>
      </c>
      <c r="D337" s="5">
        <v>103</v>
      </c>
      <c r="E337" s="4" t="str">
        <f>"Aprendiz"</f>
        <v>Aprendiz</v>
      </c>
    </row>
    <row r="338" spans="1:5">
      <c r="A338" s="4" t="str">
        <f t="shared" si="23"/>
        <v>1</v>
      </c>
      <c r="B338" s="4" t="str">
        <f>"PEDRO ROBERTO DOS SANTOS"</f>
        <v>PEDRO ROBERTO DOS SANTOS</v>
      </c>
      <c r="C338" s="4" t="str">
        <f>"OFICIAL DE PRODUCAO INDUSTRIAL"</f>
        <v>OFICIAL DE PRODUCAO INDUSTRIAL</v>
      </c>
      <c r="D338" s="5">
        <v>100</v>
      </c>
      <c r="E338" s="4" t="str">
        <f>"Funcionário"</f>
        <v>Funcionário</v>
      </c>
    </row>
    <row r="339" spans="1:5">
      <c r="A339" s="4" t="str">
        <f t="shared" si="23"/>
        <v>1</v>
      </c>
      <c r="B339" s="4" t="str">
        <f>"PEDRO RUBENS LINO"</f>
        <v>PEDRO RUBENS LINO</v>
      </c>
      <c r="C339" s="4" t="str">
        <f>"OFICIAL DE PRODUCAO INDUSTRIAL"</f>
        <v>OFICIAL DE PRODUCAO INDUSTRIAL</v>
      </c>
      <c r="D339" s="5">
        <v>100</v>
      </c>
      <c r="E339" s="4" t="str">
        <f>"Aposentado"</f>
        <v>Aposentado</v>
      </c>
    </row>
    <row r="340" spans="1:5">
      <c r="A340" s="4" t="str">
        <f t="shared" si="23"/>
        <v>1</v>
      </c>
      <c r="B340" s="4" t="str">
        <f>"PETTERSON FELIPE VIEIRA COUTINHO"</f>
        <v>PETTERSON FELIPE VIEIRA COUTINHO</v>
      </c>
      <c r="C340" s="4" t="str">
        <f>"TEC INDUSTRIAL ESPECIALIZADO"</f>
        <v>TEC INDUSTRIAL ESPECIALIZADO</v>
      </c>
      <c r="D340" s="5">
        <v>100</v>
      </c>
      <c r="E340" s="4" t="str">
        <f t="shared" ref="E340:E347" si="24">"Funcionário"</f>
        <v>Funcionário</v>
      </c>
    </row>
    <row r="341" spans="1:5">
      <c r="A341" s="4" t="str">
        <f t="shared" si="23"/>
        <v>1</v>
      </c>
      <c r="B341" s="4" t="str">
        <f>"RAFAEL BENEDITO SANTOS LEITE"</f>
        <v>RAFAEL BENEDITO SANTOS LEITE</v>
      </c>
      <c r="C341" s="4" t="str">
        <f>"TEC INDUSTRIAL ESPECIALIZADO"</f>
        <v>TEC INDUSTRIAL ESPECIALIZADO</v>
      </c>
      <c r="D341" s="5">
        <v>100</v>
      </c>
      <c r="E341" s="4" t="str">
        <f t="shared" si="24"/>
        <v>Funcionário</v>
      </c>
    </row>
    <row r="342" spans="1:5">
      <c r="A342" s="4" t="str">
        <f t="shared" si="23"/>
        <v>1</v>
      </c>
      <c r="B342" s="4" t="str">
        <f>"RAFAEL GONCALVES DE LIMA"</f>
        <v>RAFAEL GONCALVES DE LIMA</v>
      </c>
      <c r="C342" s="4" t="str">
        <f>"TEC INDUSTRIAL ESPECIALIZADO"</f>
        <v>TEC INDUSTRIAL ESPECIALIZADO</v>
      </c>
      <c r="D342" s="5">
        <v>100</v>
      </c>
      <c r="E342" s="4" t="str">
        <f t="shared" si="24"/>
        <v>Funcionário</v>
      </c>
    </row>
    <row r="343" spans="1:5">
      <c r="A343" s="4" t="str">
        <f t="shared" si="23"/>
        <v>1</v>
      </c>
      <c r="B343" s="4" t="str">
        <f>"RAFAEL LIBANIO DE SIQUEIRA"</f>
        <v>RAFAEL LIBANIO DE SIQUEIRA</v>
      </c>
      <c r="C343" s="4" t="str">
        <f>"TEC INDUSTRIAL ESPECIALIZADO"</f>
        <v>TEC INDUSTRIAL ESPECIALIZADO</v>
      </c>
      <c r="D343" s="5">
        <v>100</v>
      </c>
      <c r="E343" s="4" t="str">
        <f t="shared" si="24"/>
        <v>Funcionário</v>
      </c>
    </row>
    <row r="344" spans="1:5">
      <c r="A344" s="4" t="str">
        <f t="shared" si="23"/>
        <v>1</v>
      </c>
      <c r="B344" s="4" t="str">
        <f>"RAFAEL RAMOS DOMINGOS DE CARVALH RAMALHO"</f>
        <v>RAFAEL RAMOS DOMINGOS DE CARVALH RAMALHO</v>
      </c>
      <c r="C344" s="4" t="str">
        <f>"BOMBEIRO CIVIL"</f>
        <v>BOMBEIRO CIVIL</v>
      </c>
      <c r="D344" s="5">
        <v>100</v>
      </c>
      <c r="E344" s="4" t="str">
        <f t="shared" si="24"/>
        <v>Funcionário</v>
      </c>
    </row>
    <row r="345" spans="1:5">
      <c r="A345" s="4" t="str">
        <f t="shared" si="23"/>
        <v>1</v>
      </c>
      <c r="B345" s="4" t="str">
        <f>"RAMON CEZAR RIBEIRO CONSENZA"</f>
        <v>RAMON CEZAR RIBEIRO CONSENZA</v>
      </c>
      <c r="C345" s="4" t="str">
        <f>"TEC INDUSTRIAL ESPECIALIZADO"</f>
        <v>TEC INDUSTRIAL ESPECIALIZADO</v>
      </c>
      <c r="D345" s="5">
        <v>100</v>
      </c>
      <c r="E345" s="4" t="str">
        <f t="shared" si="24"/>
        <v>Funcionário</v>
      </c>
    </row>
    <row r="346" spans="1:5">
      <c r="A346" s="4" t="str">
        <f t="shared" si="23"/>
        <v>1</v>
      </c>
      <c r="B346" s="4" t="str">
        <f>"RAPHAEL LEVY G CAVALCANTI DA SILVA LIMA"</f>
        <v>RAPHAEL LEVY G CAVALCANTI DA SILVA LIMA</v>
      </c>
      <c r="C346" s="4" t="str">
        <f>"ESPECIALISTA"</f>
        <v>ESPECIALISTA</v>
      </c>
      <c r="D346" s="5">
        <v>100</v>
      </c>
      <c r="E346" s="4" t="str">
        <f t="shared" si="24"/>
        <v>Funcionário</v>
      </c>
    </row>
    <row r="347" spans="1:5">
      <c r="A347" s="4" t="str">
        <f t="shared" si="23"/>
        <v>1</v>
      </c>
      <c r="B347" s="4" t="str">
        <f>"REGIANE MARTON RIBEIRO DE SOUZA"</f>
        <v>REGIANE MARTON RIBEIRO DE SOUZA</v>
      </c>
      <c r="C347" s="4" t="str">
        <f>"ESPECIALISTA"</f>
        <v>ESPECIALISTA</v>
      </c>
      <c r="D347" s="5">
        <v>100</v>
      </c>
      <c r="E347" s="4" t="str">
        <f t="shared" si="24"/>
        <v>Funcionário</v>
      </c>
    </row>
    <row r="348" spans="1:5">
      <c r="A348" s="4" t="str">
        <f t="shared" si="23"/>
        <v>1</v>
      </c>
      <c r="B348" s="4" t="str">
        <f>"REGIANE VITORIA DA SILVA"</f>
        <v>REGIANE VITORIA DA SILVA</v>
      </c>
      <c r="C348" s="4" t="str">
        <f>"APRENDIZ- ADMINISTRATIVO"</f>
        <v>APRENDIZ- ADMINISTRATIVO</v>
      </c>
      <c r="D348" s="5">
        <v>103</v>
      </c>
      <c r="E348" s="4" t="str">
        <f>"Aprendiz"</f>
        <v>Aprendiz</v>
      </c>
    </row>
    <row r="349" spans="1:5">
      <c r="A349" s="4" t="str">
        <f t="shared" si="23"/>
        <v>1</v>
      </c>
      <c r="B349" s="4" t="str">
        <f>"RENAN RODRIGUES DE FARIA"</f>
        <v>RENAN RODRIGUES DE FARIA</v>
      </c>
      <c r="C349" s="4" t="str">
        <f>"TEC INDUSTRIAL ESPECIALIZADO"</f>
        <v>TEC INDUSTRIAL ESPECIALIZADO</v>
      </c>
      <c r="D349" s="5">
        <v>100</v>
      </c>
      <c r="E349" s="4" t="str">
        <f t="shared" ref="E349:E363" si="25">"Funcionário"</f>
        <v>Funcionário</v>
      </c>
    </row>
    <row r="350" spans="1:5">
      <c r="A350" s="4" t="str">
        <f t="shared" si="23"/>
        <v>1</v>
      </c>
      <c r="B350" s="4" t="str">
        <f>"RENATA GASPARINO CARNEIRO"</f>
        <v>RENATA GASPARINO CARNEIRO</v>
      </c>
      <c r="C350" s="4" t="str">
        <f>"TECNICO ADM ESPECIALIZADO"</f>
        <v>TECNICO ADM ESPECIALIZADO</v>
      </c>
      <c r="D350" s="5">
        <v>100</v>
      </c>
      <c r="E350" s="4" t="str">
        <f t="shared" si="25"/>
        <v>Funcionário</v>
      </c>
    </row>
    <row r="351" spans="1:5">
      <c r="A351" s="4" t="str">
        <f t="shared" si="23"/>
        <v>1</v>
      </c>
      <c r="B351" s="4" t="str">
        <f>"RENATA TAVARES DE ALMEIDA SILVA"</f>
        <v>RENATA TAVARES DE ALMEIDA SILVA</v>
      </c>
      <c r="C351" s="4" t="str">
        <f>"ANALISTA ESPECIALIZADO"</f>
        <v>ANALISTA ESPECIALIZADO</v>
      </c>
      <c r="D351" s="5">
        <v>100</v>
      </c>
      <c r="E351" s="4" t="str">
        <f t="shared" si="25"/>
        <v>Funcionário</v>
      </c>
    </row>
    <row r="352" spans="1:5">
      <c r="A352" s="4" t="str">
        <f t="shared" si="23"/>
        <v>1</v>
      </c>
      <c r="B352" s="4" t="str">
        <f>"RENATO CESAR RODRIGUES DA MOTTA"</f>
        <v>RENATO CESAR RODRIGUES DA MOTTA</v>
      </c>
      <c r="C352" s="4" t="str">
        <f>"TEC INDUSTRIAL ESPECIALIZADO"</f>
        <v>TEC INDUSTRIAL ESPECIALIZADO</v>
      </c>
      <c r="D352" s="5">
        <v>100</v>
      </c>
      <c r="E352" s="4" t="str">
        <f t="shared" si="25"/>
        <v>Funcionário</v>
      </c>
    </row>
    <row r="353" spans="1:5">
      <c r="A353" s="4" t="str">
        <f t="shared" si="23"/>
        <v>1</v>
      </c>
      <c r="B353" s="4" t="str">
        <f>"RENEE ANAY FERREIRA MARGARIDO"</f>
        <v>RENEE ANAY FERREIRA MARGARIDO</v>
      </c>
      <c r="C353" s="4" t="str">
        <f>"ENGENHEIRO"</f>
        <v>ENGENHEIRO</v>
      </c>
      <c r="D353" s="5">
        <v>100</v>
      </c>
      <c r="E353" s="4" t="str">
        <f t="shared" si="25"/>
        <v>Funcionário</v>
      </c>
    </row>
    <row r="354" spans="1:5">
      <c r="A354" s="4" t="str">
        <f t="shared" si="23"/>
        <v>1</v>
      </c>
      <c r="B354" s="4" t="str">
        <f>"RICARDO ALEXANDRE DE CASTRO"</f>
        <v>RICARDO ALEXANDRE DE CASTRO</v>
      </c>
      <c r="C354" s="4" t="str">
        <f>"OFICIAL DE PRODUCAO INDUSTRIAL"</f>
        <v>OFICIAL DE PRODUCAO INDUSTRIAL</v>
      </c>
      <c r="D354" s="5">
        <v>100</v>
      </c>
      <c r="E354" s="4" t="str">
        <f t="shared" si="25"/>
        <v>Funcionário</v>
      </c>
    </row>
    <row r="355" spans="1:5">
      <c r="A355" s="4" t="str">
        <f t="shared" si="23"/>
        <v>1</v>
      </c>
      <c r="B355" s="4" t="str">
        <f>"ROBERTO DA COSTA"</f>
        <v>ROBERTO DA COSTA</v>
      </c>
      <c r="C355" s="4" t="str">
        <f>"OFICIAL DE PRODUCAO INDUSTRIAL"</f>
        <v>OFICIAL DE PRODUCAO INDUSTRIAL</v>
      </c>
      <c r="D355" s="5">
        <v>100</v>
      </c>
      <c r="E355" s="4" t="str">
        <f t="shared" si="25"/>
        <v>Funcionário</v>
      </c>
    </row>
    <row r="356" spans="1:5">
      <c r="A356" s="4" t="str">
        <f t="shared" si="23"/>
        <v>1</v>
      </c>
      <c r="B356" s="4" t="str">
        <f>"ROBERTO PEREIRA DA SILVA"</f>
        <v>ROBERTO PEREIRA DA SILVA</v>
      </c>
      <c r="C356" s="4" t="str">
        <f>"AUX TECNICO ADMINISTRATIVO"</f>
        <v>AUX TECNICO ADMINISTRATIVO</v>
      </c>
      <c r="D356" s="5">
        <v>100</v>
      </c>
      <c r="E356" s="4" t="str">
        <f t="shared" si="25"/>
        <v>Funcionário</v>
      </c>
    </row>
    <row r="357" spans="1:5">
      <c r="A357" s="4" t="str">
        <f t="shared" si="23"/>
        <v>1</v>
      </c>
      <c r="B357" s="4" t="str">
        <f>"RODOLFO RAMOS INOCENCIO"</f>
        <v>RODOLFO RAMOS INOCENCIO</v>
      </c>
      <c r="C357" s="4" t="str">
        <f>"ANALISTA ESPECIALIZADO"</f>
        <v>ANALISTA ESPECIALIZADO</v>
      </c>
      <c r="D357" s="5">
        <v>100</v>
      </c>
      <c r="E357" s="4" t="str">
        <f t="shared" si="25"/>
        <v>Funcionário</v>
      </c>
    </row>
    <row r="358" spans="1:5">
      <c r="A358" s="4" t="str">
        <f t="shared" si="23"/>
        <v>1</v>
      </c>
      <c r="B358" s="4" t="str">
        <f>"RODRIGO CAMACHO SOUZA PINTO"</f>
        <v>RODRIGO CAMACHO SOUZA PINTO</v>
      </c>
      <c r="C358" s="4" t="str">
        <f>"ENGENHEIRO"</f>
        <v>ENGENHEIRO</v>
      </c>
      <c r="D358" s="5">
        <v>100</v>
      </c>
      <c r="E358" s="4" t="str">
        <f t="shared" si="25"/>
        <v>Funcionário</v>
      </c>
    </row>
    <row r="359" spans="1:5">
      <c r="A359" s="4" t="str">
        <f t="shared" si="23"/>
        <v>1</v>
      </c>
      <c r="B359" s="4" t="str">
        <f>"RODRIGO CEZAR DOS SANTOS DE SOUZA"</f>
        <v>RODRIGO CEZAR DOS SANTOS DE SOUZA</v>
      </c>
      <c r="C359" s="4" t="str">
        <f>"OFICIAL DE PRODUCAO INDUSTRIAL"</f>
        <v>OFICIAL DE PRODUCAO INDUSTRIAL</v>
      </c>
      <c r="D359" s="5">
        <v>100</v>
      </c>
      <c r="E359" s="4" t="str">
        <f t="shared" si="25"/>
        <v>Funcionário</v>
      </c>
    </row>
    <row r="360" spans="1:5">
      <c r="A360" s="4" t="str">
        <f t="shared" si="23"/>
        <v>1</v>
      </c>
      <c r="B360" s="4" t="str">
        <f>"RODRIGO JOSE DOS SANTOS"</f>
        <v>RODRIGO JOSE DOS SANTOS</v>
      </c>
      <c r="C360" s="4" t="str">
        <f>"TEC INDUSTRIAL ESPECIALIZADO"</f>
        <v>TEC INDUSTRIAL ESPECIALIZADO</v>
      </c>
      <c r="D360" s="5">
        <v>100</v>
      </c>
      <c r="E360" s="4" t="str">
        <f t="shared" si="25"/>
        <v>Funcionário</v>
      </c>
    </row>
    <row r="361" spans="1:5">
      <c r="A361" s="4" t="str">
        <f t="shared" si="23"/>
        <v>1</v>
      </c>
      <c r="B361" s="4" t="str">
        <f>"RODRIGO LUIZ DE OLIVEIRA MOTA"</f>
        <v>RODRIGO LUIZ DE OLIVEIRA MOTA</v>
      </c>
      <c r="C361" s="4" t="str">
        <f>"TEC INDUSTRIAL ESPECIALIZADO"</f>
        <v>TEC INDUSTRIAL ESPECIALIZADO</v>
      </c>
      <c r="D361" s="5">
        <v>100</v>
      </c>
      <c r="E361" s="4" t="str">
        <f t="shared" si="25"/>
        <v>Funcionário</v>
      </c>
    </row>
    <row r="362" spans="1:5">
      <c r="A362" s="4" t="str">
        <f t="shared" si="23"/>
        <v>1</v>
      </c>
      <c r="B362" s="4" t="str">
        <f>"RODRIGO PUCCINELLI DA SILVA"</f>
        <v>RODRIGO PUCCINELLI DA SILVA</v>
      </c>
      <c r="C362" s="4" t="str">
        <f>"AGENTE DE APOIO OPERACIONAL"</f>
        <v>AGENTE DE APOIO OPERACIONAL</v>
      </c>
      <c r="D362" s="5">
        <v>100</v>
      </c>
      <c r="E362" s="4" t="str">
        <f t="shared" si="25"/>
        <v>Funcionário</v>
      </c>
    </row>
    <row r="363" spans="1:5">
      <c r="A363" s="4" t="str">
        <f t="shared" si="23"/>
        <v>1</v>
      </c>
      <c r="B363" s="4" t="str">
        <f>"ROGERIO DOMINGOS SAVIO RODRIGUES"</f>
        <v>ROGERIO DOMINGOS SAVIO RODRIGUES</v>
      </c>
      <c r="C363" s="4" t="str">
        <f>"OFICIAL DE PRODUCAO INDUSTRIAL"</f>
        <v>OFICIAL DE PRODUCAO INDUSTRIAL</v>
      </c>
      <c r="D363" s="5">
        <v>100</v>
      </c>
      <c r="E363" s="4" t="str">
        <f t="shared" si="25"/>
        <v>Funcionário</v>
      </c>
    </row>
    <row r="364" spans="1:5">
      <c r="A364" s="4" t="str">
        <f t="shared" si="23"/>
        <v>1</v>
      </c>
      <c r="B364" s="4" t="str">
        <f>"ROGERIO FERNANDES FERREIRA DOS SANTOS"</f>
        <v>ROGERIO FERNANDES FERREIRA DOS SANTOS</v>
      </c>
      <c r="C364" s="4" t="str">
        <f>"APRENDIZ- PRODUÇÃO"</f>
        <v>APRENDIZ- PRODUÇÃO</v>
      </c>
      <c r="D364" s="5">
        <v>103</v>
      </c>
      <c r="E364" s="4" t="str">
        <f>"Aprendiz"</f>
        <v>Aprendiz</v>
      </c>
    </row>
    <row r="365" spans="1:5">
      <c r="A365" s="4" t="str">
        <f t="shared" si="23"/>
        <v>1</v>
      </c>
      <c r="B365" s="4" t="str">
        <f>"ROGERIO RAMOS"</f>
        <v>ROGERIO RAMOS</v>
      </c>
      <c r="C365" s="4" t="str">
        <f>"TECNICO ADM ESPECIALIZADO"</f>
        <v>TECNICO ADM ESPECIALIZADO</v>
      </c>
      <c r="D365" s="5">
        <v>100</v>
      </c>
      <c r="E365" s="4" t="str">
        <f>"Aposentado"</f>
        <v>Aposentado</v>
      </c>
    </row>
    <row r="366" spans="1:5">
      <c r="A366" s="4" t="str">
        <f t="shared" si="23"/>
        <v>1</v>
      </c>
      <c r="B366" s="4" t="str">
        <f>"ROMILSON PEREIRA DOS REIS"</f>
        <v>ROMILSON PEREIRA DOS REIS</v>
      </c>
      <c r="C366" s="4" t="str">
        <f>"OFICIAL DE PRODUCAO INDUSTRIAL"</f>
        <v>OFICIAL DE PRODUCAO INDUSTRIAL</v>
      </c>
      <c r="D366" s="5">
        <v>100</v>
      </c>
      <c r="E366" s="4" t="str">
        <f t="shared" ref="E366:E371" si="26">"Funcionário"</f>
        <v>Funcionário</v>
      </c>
    </row>
    <row r="367" spans="1:5">
      <c r="A367" s="4" t="str">
        <f t="shared" si="23"/>
        <v>1</v>
      </c>
      <c r="B367" s="4" t="str">
        <f>"ROMULO CESAR DE TOLEDO"</f>
        <v>ROMULO CESAR DE TOLEDO</v>
      </c>
      <c r="C367" s="4" t="str">
        <f>"TEC INDUSTRIAL ESPECIALIZADO"</f>
        <v>TEC INDUSTRIAL ESPECIALIZADO</v>
      </c>
      <c r="D367" s="5">
        <v>100</v>
      </c>
      <c r="E367" s="4" t="str">
        <f t="shared" si="26"/>
        <v>Funcionário</v>
      </c>
    </row>
    <row r="368" spans="1:5">
      <c r="A368" s="4" t="str">
        <f t="shared" si="23"/>
        <v>1</v>
      </c>
      <c r="B368" s="4" t="str">
        <f>"RONALDO FELIPE DOS SANTOS"</f>
        <v>RONALDO FELIPE DOS SANTOS</v>
      </c>
      <c r="C368" s="4" t="str">
        <f>"OFICIAL DE PRODUCAO INDUSTRIAL"</f>
        <v>OFICIAL DE PRODUCAO INDUSTRIAL</v>
      </c>
      <c r="D368" s="5">
        <v>100</v>
      </c>
      <c r="E368" s="4" t="str">
        <f t="shared" si="26"/>
        <v>Funcionário</v>
      </c>
    </row>
    <row r="369" spans="1:5">
      <c r="A369" s="4" t="str">
        <f t="shared" si="23"/>
        <v>1</v>
      </c>
      <c r="B369" s="4" t="str">
        <f>"RONE AUGUSTO DA SILVA"</f>
        <v>RONE AUGUSTO DA SILVA</v>
      </c>
      <c r="C369" s="4" t="str">
        <f>"OFICIAL DE PRODUCAO INDUSTRIAL"</f>
        <v>OFICIAL DE PRODUCAO INDUSTRIAL</v>
      </c>
      <c r="D369" s="5">
        <v>100</v>
      </c>
      <c r="E369" s="4" t="str">
        <f t="shared" si="26"/>
        <v>Funcionário</v>
      </c>
    </row>
    <row r="370" spans="1:5">
      <c r="A370" s="4" t="str">
        <f t="shared" si="23"/>
        <v>1</v>
      </c>
      <c r="B370" s="4" t="str">
        <f>"ROSELI AUXILIADORA SILVA DE LIMA"</f>
        <v>ROSELI AUXILIADORA SILVA DE LIMA</v>
      </c>
      <c r="C370" s="4" t="str">
        <f>"AGENTE DE APOIO OPERACIONAL"</f>
        <v>AGENTE DE APOIO OPERACIONAL</v>
      </c>
      <c r="D370" s="5">
        <v>100</v>
      </c>
      <c r="E370" s="4" t="str">
        <f t="shared" si="26"/>
        <v>Funcionário</v>
      </c>
    </row>
    <row r="371" spans="1:5">
      <c r="A371" s="4" t="str">
        <f t="shared" si="23"/>
        <v>1</v>
      </c>
      <c r="B371" s="4" t="str">
        <f>"ROSEMEIRE FATIMA DE OLIVEIRA SILVA"</f>
        <v>ROSEMEIRE FATIMA DE OLIVEIRA SILVA</v>
      </c>
      <c r="C371" s="4" t="str">
        <f>"TECNICO ADM ESPECIALIZADO"</f>
        <v>TECNICO ADM ESPECIALIZADO</v>
      </c>
      <c r="D371" s="5">
        <v>100</v>
      </c>
      <c r="E371" s="4" t="str">
        <f t="shared" si="26"/>
        <v>Funcionário</v>
      </c>
    </row>
    <row r="372" spans="1:5">
      <c r="A372" s="4" t="str">
        <f t="shared" si="23"/>
        <v>1</v>
      </c>
      <c r="B372" s="4" t="str">
        <f>"RUAN GUEDES DOS SANTOS SOUZA"</f>
        <v>RUAN GUEDES DOS SANTOS SOUZA</v>
      </c>
      <c r="C372" s="4" t="str">
        <f>"APRENDIZ- ADMINISTRATIVO"</f>
        <v>APRENDIZ- ADMINISTRATIVO</v>
      </c>
      <c r="D372" s="5">
        <v>103</v>
      </c>
      <c r="E372" s="4" t="str">
        <f>"Aprendiz"</f>
        <v>Aprendiz</v>
      </c>
    </row>
    <row r="373" spans="1:5">
      <c r="A373" s="4" t="str">
        <f t="shared" si="23"/>
        <v>1</v>
      </c>
      <c r="B373" s="4" t="str">
        <f>"RUAN MANOEL ESPINDOLA"</f>
        <v>RUAN MANOEL ESPINDOLA</v>
      </c>
      <c r="C373" s="4" t="str">
        <f>"OFICIAL DE PRODUCAO INDUSTRIAL"</f>
        <v>OFICIAL DE PRODUCAO INDUSTRIAL</v>
      </c>
      <c r="D373" s="5">
        <v>100</v>
      </c>
      <c r="E373" s="4" t="str">
        <f>"Funcionário"</f>
        <v>Funcionário</v>
      </c>
    </row>
    <row r="374" spans="1:5">
      <c r="A374" s="4" t="str">
        <f t="shared" si="23"/>
        <v>1</v>
      </c>
      <c r="B374" s="4" t="str">
        <f>"RUBENS BATISTA DOS SANTOS"</f>
        <v>RUBENS BATISTA DOS SANTOS</v>
      </c>
      <c r="C374" s="4" t="str">
        <f>"OFICIAL DE PRODUCAO INDUSTRIAL"</f>
        <v>OFICIAL DE PRODUCAO INDUSTRIAL</v>
      </c>
      <c r="D374" s="5">
        <v>100</v>
      </c>
      <c r="E374" s="4" t="str">
        <f>"Aposentado"</f>
        <v>Aposentado</v>
      </c>
    </row>
    <row r="375" spans="1:5">
      <c r="A375" s="4" t="str">
        <f t="shared" si="23"/>
        <v>1</v>
      </c>
      <c r="B375" s="4" t="str">
        <f>"RYAN PEREIRA DA SILVA OLIVEIRA"</f>
        <v>RYAN PEREIRA DA SILVA OLIVEIRA</v>
      </c>
      <c r="C375" s="4" t="str">
        <f>"TECNICO ADM ESPECIALIZADO"</f>
        <v>TECNICO ADM ESPECIALIZADO</v>
      </c>
      <c r="D375" s="5">
        <v>100</v>
      </c>
      <c r="E375" s="4" t="str">
        <f>"Funcionário"</f>
        <v>Funcionário</v>
      </c>
    </row>
    <row r="376" spans="1:5">
      <c r="A376" s="4" t="str">
        <f t="shared" si="23"/>
        <v>1</v>
      </c>
      <c r="B376" s="4" t="str">
        <f>"SAMUEL DE OLIVEIRA VITORINO"</f>
        <v>SAMUEL DE OLIVEIRA VITORINO</v>
      </c>
      <c r="C376" s="4" t="str">
        <f>"OFICIAL DE PRODUCAO INDUSTRIAL"</f>
        <v>OFICIAL DE PRODUCAO INDUSTRIAL</v>
      </c>
      <c r="D376" s="5">
        <v>100</v>
      </c>
      <c r="E376" s="4" t="str">
        <f>"Funcionário"</f>
        <v>Funcionário</v>
      </c>
    </row>
    <row r="377" spans="1:5">
      <c r="A377" s="4" t="str">
        <f t="shared" si="23"/>
        <v>1</v>
      </c>
      <c r="B377" s="4" t="str">
        <f>"SANDRO BATISTA ELEODORO DA SILVA"</f>
        <v>SANDRO BATISTA ELEODORO DA SILVA</v>
      </c>
      <c r="C377" s="4" t="str">
        <f>"AUXILIAR TECNICO INDUSTRIAL"</f>
        <v>AUXILIAR TECNICO INDUSTRIAL</v>
      </c>
      <c r="D377" s="5">
        <v>100</v>
      </c>
      <c r="E377" s="4" t="str">
        <f>"Aposentado"</f>
        <v>Aposentado</v>
      </c>
    </row>
    <row r="378" spans="1:5">
      <c r="A378" s="4" t="str">
        <f t="shared" si="23"/>
        <v>1</v>
      </c>
      <c r="B378" s="4" t="str">
        <f>"SANTE PRYMO KLOSOWSKI BIZARRO"</f>
        <v>SANTE PRYMO KLOSOWSKI BIZARRO</v>
      </c>
      <c r="C378" s="4" t="str">
        <f>"ENGENHEIRO"</f>
        <v>ENGENHEIRO</v>
      </c>
      <c r="D378" s="5">
        <v>100</v>
      </c>
      <c r="E378" s="4" t="str">
        <f t="shared" ref="E378:E386" si="27">"Funcionário"</f>
        <v>Funcionário</v>
      </c>
    </row>
    <row r="379" spans="1:5">
      <c r="A379" s="4" t="str">
        <f t="shared" si="23"/>
        <v>1</v>
      </c>
      <c r="B379" s="4" t="str">
        <f>"SARA SILVA DE MORAES"</f>
        <v>SARA SILVA DE MORAES</v>
      </c>
      <c r="C379" s="4" t="str">
        <f>"OFICIAL DE PRODUCAO INDUSTRIAL"</f>
        <v>OFICIAL DE PRODUCAO INDUSTRIAL</v>
      </c>
      <c r="D379" s="5">
        <v>100</v>
      </c>
      <c r="E379" s="4" t="str">
        <f t="shared" si="27"/>
        <v>Funcionário</v>
      </c>
    </row>
    <row r="380" spans="1:5">
      <c r="A380" s="4" t="str">
        <f t="shared" si="23"/>
        <v>1</v>
      </c>
      <c r="B380" s="4" t="str">
        <f>"SEBASTIAO COSTA"</f>
        <v>SEBASTIAO COSTA</v>
      </c>
      <c r="C380" s="4" t="str">
        <f>"OFICIAL DE PRODUCAO INDUSTRIAL"</f>
        <v>OFICIAL DE PRODUCAO INDUSTRIAL</v>
      </c>
      <c r="D380" s="5">
        <v>100</v>
      </c>
      <c r="E380" s="4" t="str">
        <f t="shared" si="27"/>
        <v>Funcionário</v>
      </c>
    </row>
    <row r="381" spans="1:5">
      <c r="A381" s="4" t="str">
        <f t="shared" si="23"/>
        <v>1</v>
      </c>
      <c r="B381" s="4" t="str">
        <f>"SERGIO JOSE RIBEIRO"</f>
        <v>SERGIO JOSE RIBEIRO</v>
      </c>
      <c r="C381" s="4" t="str">
        <f>"OFICIAL DE PRODUCAO INDUSTRIAL"</f>
        <v>OFICIAL DE PRODUCAO INDUSTRIAL</v>
      </c>
      <c r="D381" s="5">
        <v>100</v>
      </c>
      <c r="E381" s="4" t="str">
        <f t="shared" si="27"/>
        <v>Funcionário</v>
      </c>
    </row>
    <row r="382" spans="1:5">
      <c r="A382" s="4" t="str">
        <f t="shared" si="23"/>
        <v>1</v>
      </c>
      <c r="B382" s="4" t="str">
        <f>"SERGIO LUIZ ANTUNES FERREIRA"</f>
        <v>SERGIO LUIZ ANTUNES FERREIRA</v>
      </c>
      <c r="C382" s="4" t="str">
        <f>"OFICIAL DE PRODUCAO INDUSTRIAL"</f>
        <v>OFICIAL DE PRODUCAO INDUSTRIAL</v>
      </c>
      <c r="D382" s="5">
        <v>100</v>
      </c>
      <c r="E382" s="4" t="str">
        <f t="shared" si="27"/>
        <v>Funcionário</v>
      </c>
    </row>
    <row r="383" spans="1:5">
      <c r="A383" s="4" t="str">
        <f t="shared" si="23"/>
        <v>1</v>
      </c>
      <c r="B383" s="4" t="str">
        <f>"SERGIO MIGUEL DA FONSECA"</f>
        <v>SERGIO MIGUEL DA FONSECA</v>
      </c>
      <c r="C383" s="4" t="str">
        <f>"OF FERRAMENTARIA INDUSTRIAL"</f>
        <v>OF FERRAMENTARIA INDUSTRIAL</v>
      </c>
      <c r="D383" s="5">
        <v>100</v>
      </c>
      <c r="E383" s="4" t="str">
        <f t="shared" si="27"/>
        <v>Funcionário</v>
      </c>
    </row>
    <row r="384" spans="1:5">
      <c r="A384" s="4" t="str">
        <f t="shared" si="23"/>
        <v>1</v>
      </c>
      <c r="B384" s="4" t="str">
        <f>"SERGIO MURILO DE VILAS BOAS"</f>
        <v>SERGIO MURILO DE VILAS BOAS</v>
      </c>
      <c r="C384" s="4" t="str">
        <f>"AUXILIAR TECNICO INDUSTRIAL"</f>
        <v>AUXILIAR TECNICO INDUSTRIAL</v>
      </c>
      <c r="D384" s="5">
        <v>100</v>
      </c>
      <c r="E384" s="4" t="str">
        <f t="shared" si="27"/>
        <v>Funcionário</v>
      </c>
    </row>
    <row r="385" spans="1:5">
      <c r="A385" s="4" t="str">
        <f t="shared" si="23"/>
        <v>1</v>
      </c>
      <c r="B385" s="4" t="str">
        <f>"SIDNEI ROGERIO DI MARQUI"</f>
        <v>SIDNEI ROGERIO DI MARQUI</v>
      </c>
      <c r="C385" s="4" t="str">
        <f>"TECNICO SEGURANÇA DO TRABALHO"</f>
        <v>TECNICO SEGURANÇA DO TRABALHO</v>
      </c>
      <c r="D385" s="5">
        <v>100</v>
      </c>
      <c r="E385" s="4" t="str">
        <f t="shared" si="27"/>
        <v>Funcionário</v>
      </c>
    </row>
    <row r="386" spans="1:5">
      <c r="A386" s="4" t="str">
        <f t="shared" si="23"/>
        <v>1</v>
      </c>
      <c r="B386" s="4" t="str">
        <f>"SIDNEY PEREIRA DA SILVA"</f>
        <v>SIDNEY PEREIRA DA SILVA</v>
      </c>
      <c r="C386" s="4" t="str">
        <f>"OFICIAL DE PRODUCAO INDUSTRIAL"</f>
        <v>OFICIAL DE PRODUCAO INDUSTRIAL</v>
      </c>
      <c r="D386" s="5">
        <v>100</v>
      </c>
      <c r="E386" s="4" t="str">
        <f t="shared" si="27"/>
        <v>Funcionário</v>
      </c>
    </row>
    <row r="387" spans="1:5">
      <c r="A387" s="4" t="str">
        <f t="shared" ref="A387:A427" si="28">"1"</f>
        <v>1</v>
      </c>
      <c r="B387" s="4" t="str">
        <f>"SILAS VIEIRA"</f>
        <v>SILAS VIEIRA</v>
      </c>
      <c r="C387" s="4" t="str">
        <f>"AUXILIAR TECNICO INDUSTRIAL"</f>
        <v>AUXILIAR TECNICO INDUSTRIAL</v>
      </c>
      <c r="D387" s="5">
        <v>100</v>
      </c>
      <c r="E387" s="4" t="str">
        <f>"Aposentado"</f>
        <v>Aposentado</v>
      </c>
    </row>
    <row r="388" spans="1:5">
      <c r="A388" s="4" t="str">
        <f t="shared" si="28"/>
        <v>1</v>
      </c>
      <c r="B388" s="4" t="str">
        <f>"SILVIA HELENA DE OLIVEIRA"</f>
        <v>SILVIA HELENA DE OLIVEIRA</v>
      </c>
      <c r="C388" s="4" t="str">
        <f>"ADVOGADO"</f>
        <v>ADVOGADO</v>
      </c>
      <c r="D388" s="5">
        <v>104</v>
      </c>
      <c r="E388" s="4" t="str">
        <f t="shared" ref="E388:E393" si="29">"Funcionário"</f>
        <v>Funcionário</v>
      </c>
    </row>
    <row r="389" spans="1:5">
      <c r="A389" s="4" t="str">
        <f t="shared" si="28"/>
        <v>1</v>
      </c>
      <c r="B389" s="4" t="str">
        <f>"STHEFANE FERREIRA BRASIL DE SOUZA RIBEIR"</f>
        <v>STHEFANE FERREIRA BRASIL DE SOUZA RIBEIR</v>
      </c>
      <c r="C389" s="4" t="str">
        <f>"OFICIAL DE PRODUCAO INDUSTRIAL"</f>
        <v>OFICIAL DE PRODUCAO INDUSTRIAL</v>
      </c>
      <c r="D389" s="5">
        <v>100</v>
      </c>
      <c r="E389" s="4" t="str">
        <f t="shared" si="29"/>
        <v>Funcionário</v>
      </c>
    </row>
    <row r="390" spans="1:5">
      <c r="A390" s="4" t="str">
        <f t="shared" si="28"/>
        <v>1</v>
      </c>
      <c r="B390" s="4" t="str">
        <f>"TABATA MAYARA RIBEIRO TOLEDO CASTRO"</f>
        <v>TABATA MAYARA RIBEIRO TOLEDO CASTRO</v>
      </c>
      <c r="C390" s="4" t="str">
        <f>"ENGENHEIRO"</f>
        <v>ENGENHEIRO</v>
      </c>
      <c r="D390" s="5">
        <v>100</v>
      </c>
      <c r="E390" s="4" t="str">
        <f t="shared" si="29"/>
        <v>Funcionário</v>
      </c>
    </row>
    <row r="391" spans="1:5">
      <c r="A391" s="4" t="str">
        <f t="shared" si="28"/>
        <v>1</v>
      </c>
      <c r="B391" s="4" t="str">
        <f>"TAMIRES APARECIDA FORTES DE CASTRO"</f>
        <v>TAMIRES APARECIDA FORTES DE CASTRO</v>
      </c>
      <c r="C391" s="4" t="str">
        <f>"ESPECIALISTA"</f>
        <v>ESPECIALISTA</v>
      </c>
      <c r="D391" s="5">
        <v>100</v>
      </c>
      <c r="E391" s="4" t="str">
        <f t="shared" si="29"/>
        <v>Funcionário</v>
      </c>
    </row>
    <row r="392" spans="1:5">
      <c r="A392" s="4" t="str">
        <f t="shared" si="28"/>
        <v>1</v>
      </c>
      <c r="B392" s="4" t="str">
        <f>"TATIANE FABRICIA DA SILVA RODRIGUES BENT"</f>
        <v>TATIANE FABRICIA DA SILVA RODRIGUES BENT</v>
      </c>
      <c r="C392" s="4" t="str">
        <f>"ENGENHEIRO"</f>
        <v>ENGENHEIRO</v>
      </c>
      <c r="D392" s="5">
        <v>100</v>
      </c>
      <c r="E392" s="4" t="str">
        <f t="shared" si="29"/>
        <v>Funcionário</v>
      </c>
    </row>
    <row r="393" spans="1:5">
      <c r="A393" s="4" t="str">
        <f t="shared" si="28"/>
        <v>1</v>
      </c>
      <c r="B393" s="4" t="str">
        <f>"THAINA APARECIDA DE SOUZA"</f>
        <v>THAINA APARECIDA DE SOUZA</v>
      </c>
      <c r="C393" s="4" t="str">
        <f>"OFICIAL DE PRODUCAO INDUSTRIAL"</f>
        <v>OFICIAL DE PRODUCAO INDUSTRIAL</v>
      </c>
      <c r="D393" s="5">
        <v>100</v>
      </c>
      <c r="E393" s="4" t="str">
        <f t="shared" si="29"/>
        <v>Funcionário</v>
      </c>
    </row>
    <row r="394" spans="1:5">
      <c r="A394" s="4" t="str">
        <f t="shared" si="28"/>
        <v>1</v>
      </c>
      <c r="B394" s="4" t="str">
        <f>"THAISSA CRISTINA MIRANDA IBA"</f>
        <v>THAISSA CRISTINA MIRANDA IBA</v>
      </c>
      <c r="C394" s="4" t="str">
        <f>"APRENDIZ- PRODUÇÃO"</f>
        <v>APRENDIZ- PRODUÇÃO</v>
      </c>
      <c r="D394" s="5">
        <v>103</v>
      </c>
      <c r="E394" s="4" t="str">
        <f>"Aprendiz"</f>
        <v>Aprendiz</v>
      </c>
    </row>
    <row r="395" spans="1:5">
      <c r="A395" s="4" t="str">
        <f t="shared" si="28"/>
        <v>1</v>
      </c>
      <c r="B395" s="4" t="str">
        <f>"THAYSE ALEXSANDRA JACOB COSTA"</f>
        <v>THAYSE ALEXSANDRA JACOB COSTA</v>
      </c>
      <c r="C395" s="4" t="str">
        <f>"OFICIAL DE PRODUCAO INDUSTRIAL"</f>
        <v>OFICIAL DE PRODUCAO INDUSTRIAL</v>
      </c>
      <c r="D395" s="5">
        <v>100</v>
      </c>
      <c r="E395" s="4" t="str">
        <f t="shared" ref="E395:E402" si="30">"Funcionário"</f>
        <v>Funcionário</v>
      </c>
    </row>
    <row r="396" spans="1:5">
      <c r="A396" s="4" t="str">
        <f t="shared" si="28"/>
        <v>1</v>
      </c>
      <c r="B396" s="4" t="str">
        <f>"THIAGO FELIPE CASTILHO ROCHA"</f>
        <v>THIAGO FELIPE CASTILHO ROCHA</v>
      </c>
      <c r="C396" s="4" t="str">
        <f>"ESPECIALISTA"</f>
        <v>ESPECIALISTA</v>
      </c>
      <c r="D396" s="5">
        <v>100</v>
      </c>
      <c r="E396" s="4" t="str">
        <f t="shared" si="30"/>
        <v>Funcionário</v>
      </c>
    </row>
    <row r="397" spans="1:5">
      <c r="A397" s="4" t="str">
        <f t="shared" si="28"/>
        <v>1</v>
      </c>
      <c r="B397" s="4" t="str">
        <f>"TIAGO CESAR DA SILVA"</f>
        <v>TIAGO CESAR DA SILVA</v>
      </c>
      <c r="C397" s="4" t="str">
        <f>"OFICIAL DE PRODUCAO INDUSTRIAL"</f>
        <v>OFICIAL DE PRODUCAO INDUSTRIAL</v>
      </c>
      <c r="D397" s="5">
        <v>100</v>
      </c>
      <c r="E397" s="4" t="str">
        <f t="shared" si="30"/>
        <v>Funcionário</v>
      </c>
    </row>
    <row r="398" spans="1:5">
      <c r="A398" s="4" t="str">
        <f t="shared" si="28"/>
        <v>1</v>
      </c>
      <c r="B398" s="4" t="str">
        <f>"TIAGO HUMBERTO DOS SANTOS"</f>
        <v>TIAGO HUMBERTO DOS SANTOS</v>
      </c>
      <c r="C398" s="4" t="str">
        <f>"AGENTE DE APOIO OPERACIONAL"</f>
        <v>AGENTE DE APOIO OPERACIONAL</v>
      </c>
      <c r="D398" s="5">
        <v>100</v>
      </c>
      <c r="E398" s="4" t="str">
        <f t="shared" si="30"/>
        <v>Funcionário</v>
      </c>
    </row>
    <row r="399" spans="1:5">
      <c r="A399" s="4" t="str">
        <f t="shared" si="28"/>
        <v>1</v>
      </c>
      <c r="B399" s="4" t="str">
        <f>"TULIO BITENCOURT DE PAIVA"</f>
        <v>TULIO BITENCOURT DE PAIVA</v>
      </c>
      <c r="C399" s="4" t="str">
        <f>"TECNICO ADM ESPECIALIZADO"</f>
        <v>TECNICO ADM ESPECIALIZADO</v>
      </c>
      <c r="D399" s="5">
        <v>100</v>
      </c>
      <c r="E399" s="4" t="str">
        <f t="shared" si="30"/>
        <v>Funcionário</v>
      </c>
    </row>
    <row r="400" spans="1:5">
      <c r="A400" s="4" t="str">
        <f t="shared" si="28"/>
        <v>1</v>
      </c>
      <c r="B400" s="4" t="str">
        <f>"UBIRAJARA DA SILVA"</f>
        <v>UBIRAJARA DA SILVA</v>
      </c>
      <c r="C400" s="4" t="str">
        <f>"TEC INDUSTRIAL ESPECIALIZADO"</f>
        <v>TEC INDUSTRIAL ESPECIALIZADO</v>
      </c>
      <c r="D400" s="5">
        <v>100</v>
      </c>
      <c r="E400" s="4" t="str">
        <f t="shared" si="30"/>
        <v>Funcionário</v>
      </c>
    </row>
    <row r="401" spans="1:5">
      <c r="A401" s="4" t="str">
        <f t="shared" si="28"/>
        <v>1</v>
      </c>
      <c r="B401" s="4" t="str">
        <f>"UELITON ALVES DE PINA"</f>
        <v>UELITON ALVES DE PINA</v>
      </c>
      <c r="C401" s="4" t="str">
        <f>"TEC INDUSTRIAL ESPECIALIZADO"</f>
        <v>TEC INDUSTRIAL ESPECIALIZADO</v>
      </c>
      <c r="D401" s="5">
        <v>100</v>
      </c>
      <c r="E401" s="4" t="str">
        <f t="shared" si="30"/>
        <v>Funcionário</v>
      </c>
    </row>
    <row r="402" spans="1:5">
      <c r="A402" s="4" t="str">
        <f t="shared" si="28"/>
        <v>1</v>
      </c>
      <c r="B402" s="4" t="str">
        <f>"URICLEITON VALENTIM"</f>
        <v>URICLEITON VALENTIM</v>
      </c>
      <c r="C402" s="4" t="str">
        <f>"ENGENHEIRO"</f>
        <v>ENGENHEIRO</v>
      </c>
      <c r="D402" s="5">
        <v>100</v>
      </c>
      <c r="E402" s="4" t="str">
        <f t="shared" si="30"/>
        <v>Funcionário</v>
      </c>
    </row>
    <row r="403" spans="1:5">
      <c r="A403" s="4" t="str">
        <f t="shared" si="28"/>
        <v>1</v>
      </c>
      <c r="B403" s="4" t="str">
        <f>"VALDECIR DE ASSIS MAGALHAES"</f>
        <v>VALDECIR DE ASSIS MAGALHAES</v>
      </c>
      <c r="C403" s="4" t="str">
        <f>"TEC INDUSTRIAL ESPECIALIZADO"</f>
        <v>TEC INDUSTRIAL ESPECIALIZADO</v>
      </c>
      <c r="D403" s="5">
        <v>100</v>
      </c>
      <c r="E403" s="4" t="str">
        <f>"Aposentado"</f>
        <v>Aposentado</v>
      </c>
    </row>
    <row r="404" spans="1:5">
      <c r="A404" s="4" t="str">
        <f t="shared" si="28"/>
        <v>1</v>
      </c>
      <c r="B404" s="4" t="str">
        <f>"VALDECIR GALVAO"</f>
        <v>VALDECIR GALVAO</v>
      </c>
      <c r="C404" s="4" t="str">
        <f>"TEC INDUSTRIAL ESPECIALIZADO"</f>
        <v>TEC INDUSTRIAL ESPECIALIZADO</v>
      </c>
      <c r="D404" s="5">
        <v>100</v>
      </c>
      <c r="E404" s="4" t="str">
        <f>"Funcionário"</f>
        <v>Funcionário</v>
      </c>
    </row>
    <row r="405" spans="1:5">
      <c r="A405" s="4" t="str">
        <f t="shared" si="28"/>
        <v>1</v>
      </c>
      <c r="B405" s="4" t="str">
        <f>"VALDEMIR DA SILVA"</f>
        <v>VALDEMIR DA SILVA</v>
      </c>
      <c r="C405" s="4" t="str">
        <f>"OFICIAL DE PRODUCAO INDUSTRIAL"</f>
        <v>OFICIAL DE PRODUCAO INDUSTRIAL</v>
      </c>
      <c r="D405" s="5">
        <v>100</v>
      </c>
      <c r="E405" s="4" t="str">
        <f>"Funcionário"</f>
        <v>Funcionário</v>
      </c>
    </row>
    <row r="406" spans="1:5">
      <c r="A406" s="4" t="str">
        <f t="shared" si="28"/>
        <v>1</v>
      </c>
      <c r="B406" s="4" t="str">
        <f>"VALDIR DE VILAS BOAS"</f>
        <v>VALDIR DE VILAS BOAS</v>
      </c>
      <c r="C406" s="4" t="str">
        <f>"TEC INDUSTRIAL ESPECIALIZADO"</f>
        <v>TEC INDUSTRIAL ESPECIALIZADO</v>
      </c>
      <c r="D406" s="5">
        <v>100</v>
      </c>
      <c r="E406" s="4" t="str">
        <f>"Funcionário"</f>
        <v>Funcionário</v>
      </c>
    </row>
    <row r="407" spans="1:5">
      <c r="A407" s="4" t="str">
        <f t="shared" si="28"/>
        <v>1</v>
      </c>
      <c r="B407" s="4" t="str">
        <f>"VALMIR RIBEIRO DA COSTA"</f>
        <v>VALMIR RIBEIRO DA COSTA</v>
      </c>
      <c r="C407" s="4" t="str">
        <f>"AUX TECNICO ADMINISTRATIVO"</f>
        <v>AUX TECNICO ADMINISTRATIVO</v>
      </c>
      <c r="D407" s="5">
        <v>100</v>
      </c>
      <c r="E407" s="4" t="str">
        <f>"Aposentado"</f>
        <v>Aposentado</v>
      </c>
    </row>
    <row r="408" spans="1:5">
      <c r="A408" s="4" t="str">
        <f t="shared" si="28"/>
        <v>1</v>
      </c>
      <c r="B408" s="4" t="str">
        <f>"VANIA CARVALHO"</f>
        <v>VANIA CARVALHO</v>
      </c>
      <c r="C408" s="4" t="str">
        <f>"ENGENHEIRO"</f>
        <v>ENGENHEIRO</v>
      </c>
      <c r="D408" s="5">
        <v>100</v>
      </c>
      <c r="E408" s="4" t="str">
        <f>"Funcionário"</f>
        <v>Funcionário</v>
      </c>
    </row>
    <row r="409" spans="1:5">
      <c r="A409" s="4" t="str">
        <f t="shared" si="28"/>
        <v>1</v>
      </c>
      <c r="B409" s="4" t="str">
        <f>"VICENTE PAULA FILHO"</f>
        <v>VICENTE PAULA FILHO</v>
      </c>
      <c r="C409" s="4" t="str">
        <f>"AUXILIAR TECNICO INDUSTRIAL"</f>
        <v>AUXILIAR TECNICO INDUSTRIAL</v>
      </c>
      <c r="D409" s="5">
        <v>100</v>
      </c>
      <c r="E409" s="4" t="str">
        <f>"Aposentado"</f>
        <v>Aposentado</v>
      </c>
    </row>
    <row r="410" spans="1:5">
      <c r="A410" s="4" t="str">
        <f t="shared" si="28"/>
        <v>1</v>
      </c>
      <c r="B410" s="4" t="str">
        <f>"VICTOR HUGO BATISTA FARIA"</f>
        <v>VICTOR HUGO BATISTA FARIA</v>
      </c>
      <c r="C410" s="4" t="str">
        <f>"OFICIAL DE PRODUCAO INDUSTRIAL"</f>
        <v>OFICIAL DE PRODUCAO INDUSTRIAL</v>
      </c>
      <c r="D410" s="5">
        <v>100</v>
      </c>
      <c r="E410" s="4" t="str">
        <f>"Funcionário"</f>
        <v>Funcionário</v>
      </c>
    </row>
    <row r="411" spans="1:5">
      <c r="A411" s="4" t="str">
        <f t="shared" si="28"/>
        <v>1</v>
      </c>
      <c r="B411" s="4" t="str">
        <f>"VICTORIA EMMANUELY DOROTEIA"</f>
        <v>VICTORIA EMMANUELY DOROTEIA</v>
      </c>
      <c r="C411" s="4" t="str">
        <f>"OFICIAL DE PRODUCAO INDUSTRIAL"</f>
        <v>OFICIAL DE PRODUCAO INDUSTRIAL</v>
      </c>
      <c r="D411" s="5">
        <v>100</v>
      </c>
      <c r="E411" s="4" t="str">
        <f>"Funcionário"</f>
        <v>Funcionário</v>
      </c>
    </row>
    <row r="412" spans="1:5">
      <c r="A412" s="4" t="str">
        <f t="shared" si="28"/>
        <v>1</v>
      </c>
      <c r="B412" s="4" t="str">
        <f>"VINICIUS FERREIRA FERNANDES"</f>
        <v>VINICIUS FERREIRA FERNANDES</v>
      </c>
      <c r="C412" s="4" t="str">
        <f>"APRENDIZ- PRODUÇÃO"</f>
        <v>APRENDIZ- PRODUÇÃO</v>
      </c>
      <c r="D412" s="5">
        <v>103</v>
      </c>
      <c r="E412" s="4" t="str">
        <f>"Aprendiz"</f>
        <v>Aprendiz</v>
      </c>
    </row>
    <row r="413" spans="1:5">
      <c r="A413" s="4" t="str">
        <f t="shared" si="28"/>
        <v>1</v>
      </c>
      <c r="B413" s="4" t="str">
        <f>"VINICIUS HENRIQUE SILVA DE CARVALHO"</f>
        <v>VINICIUS HENRIQUE SILVA DE CARVALHO</v>
      </c>
      <c r="C413" s="4" t="str">
        <f>"APRENDIZ- PRODUÇÃO"</f>
        <v>APRENDIZ- PRODUÇÃO</v>
      </c>
      <c r="D413" s="5">
        <v>103</v>
      </c>
      <c r="E413" s="4" t="str">
        <f>"Aprendiz"</f>
        <v>Aprendiz</v>
      </c>
    </row>
    <row r="414" spans="1:5">
      <c r="A414" s="4" t="str">
        <f t="shared" si="28"/>
        <v>1</v>
      </c>
      <c r="B414" s="4" t="str">
        <f>"VINICIUS LOPES LEITE FERREIRA"</f>
        <v>VINICIUS LOPES LEITE FERREIRA</v>
      </c>
      <c r="C414" s="4" t="str">
        <f>"TEC  INDUSTRIAL ESPECIALIZADO"</f>
        <v>TEC  INDUSTRIAL ESPECIALIZADO</v>
      </c>
      <c r="D414" s="5">
        <v>100</v>
      </c>
      <c r="E414" s="4" t="str">
        <f t="shared" ref="E414:E422" si="31">"Funcionário"</f>
        <v>Funcionário</v>
      </c>
    </row>
    <row r="415" spans="1:5">
      <c r="A415" s="4" t="str">
        <f t="shared" si="28"/>
        <v>1</v>
      </c>
      <c r="B415" s="4" t="str">
        <f>"VITOR MAURICIO MOREIRA PIVA"</f>
        <v>VITOR MAURICIO MOREIRA PIVA</v>
      </c>
      <c r="C415" s="4" t="str">
        <f>"OFICIAL DE PRODUCAO INDUSTRIAL"</f>
        <v>OFICIAL DE PRODUCAO INDUSTRIAL</v>
      </c>
      <c r="D415" s="5">
        <v>100</v>
      </c>
      <c r="E415" s="4" t="str">
        <f t="shared" si="31"/>
        <v>Funcionário</v>
      </c>
    </row>
    <row r="416" spans="1:5">
      <c r="A416" s="4" t="str">
        <f t="shared" si="28"/>
        <v>1</v>
      </c>
      <c r="B416" s="4" t="str">
        <f>"WAGNER LUIZ COSTA DA SILVA ALVES"</f>
        <v>WAGNER LUIZ COSTA DA SILVA ALVES</v>
      </c>
      <c r="C416" s="4" t="str">
        <f>"AUXILIAR TECNICO INDUSTRIAL"</f>
        <v>AUXILIAR TECNICO INDUSTRIAL</v>
      </c>
      <c r="D416" s="5">
        <v>100</v>
      </c>
      <c r="E416" s="4" t="str">
        <f t="shared" si="31"/>
        <v>Funcionário</v>
      </c>
    </row>
    <row r="417" spans="1:5">
      <c r="A417" s="4" t="str">
        <f t="shared" si="28"/>
        <v>1</v>
      </c>
      <c r="B417" s="4" t="str">
        <f>"WAGNER LUIZ DE OLIVEIRA"</f>
        <v>WAGNER LUIZ DE OLIVEIRA</v>
      </c>
      <c r="C417" s="4" t="str">
        <f>"TECNICO ADM ESPECIALIZADO"</f>
        <v>TECNICO ADM ESPECIALIZADO</v>
      </c>
      <c r="D417" s="5">
        <v>100</v>
      </c>
      <c r="E417" s="4" t="str">
        <f t="shared" si="31"/>
        <v>Funcionário</v>
      </c>
    </row>
    <row r="418" spans="1:5">
      <c r="A418" s="4" t="str">
        <f t="shared" si="28"/>
        <v>1</v>
      </c>
      <c r="B418" s="4" t="str">
        <f>"WAGNER LUIZ EVARISTO"</f>
        <v>WAGNER LUIZ EVARISTO</v>
      </c>
      <c r="C418" s="4" t="str">
        <f>"AGENTE DE APOIO OPERACIONAL"</f>
        <v>AGENTE DE APOIO OPERACIONAL</v>
      </c>
      <c r="D418" s="5">
        <v>100</v>
      </c>
      <c r="E418" s="4" t="str">
        <f t="shared" si="31"/>
        <v>Funcionário</v>
      </c>
    </row>
    <row r="419" spans="1:5">
      <c r="A419" s="4" t="str">
        <f t="shared" si="28"/>
        <v>1</v>
      </c>
      <c r="B419" s="4" t="str">
        <f>"WAGNER STUART CORREA"</f>
        <v>WAGNER STUART CORREA</v>
      </c>
      <c r="C419" s="4" t="str">
        <f>"OFICIAL DE PRODUCAO INDUSTRIAL"</f>
        <v>OFICIAL DE PRODUCAO INDUSTRIAL</v>
      </c>
      <c r="D419" s="5">
        <v>100</v>
      </c>
      <c r="E419" s="4" t="str">
        <f t="shared" si="31"/>
        <v>Funcionário</v>
      </c>
    </row>
    <row r="420" spans="1:5">
      <c r="A420" s="4" t="str">
        <f t="shared" si="28"/>
        <v>1</v>
      </c>
      <c r="B420" s="4" t="str">
        <f>"WALLACE MARQUES PASCOAL RAMOS"</f>
        <v>WALLACE MARQUES PASCOAL RAMOS</v>
      </c>
      <c r="C420" s="4" t="str">
        <f>"TECNICO ADM ESPECIALIZADO"</f>
        <v>TECNICO ADM ESPECIALIZADO</v>
      </c>
      <c r="D420" s="5">
        <v>100</v>
      </c>
      <c r="E420" s="4" t="str">
        <f t="shared" si="31"/>
        <v>Funcionário</v>
      </c>
    </row>
    <row r="421" spans="1:5">
      <c r="A421" s="4" t="str">
        <f t="shared" si="28"/>
        <v>1</v>
      </c>
      <c r="B421" s="4" t="str">
        <f>"WALMIRIA CASTANHO DE MELO"</f>
        <v>WALMIRIA CASTANHO DE MELO</v>
      </c>
      <c r="C421" s="4" t="str">
        <f>"TECNICO ADM ESPECIALIZADO"</f>
        <v>TECNICO ADM ESPECIALIZADO</v>
      </c>
      <c r="D421" s="5">
        <v>100</v>
      </c>
      <c r="E421" s="4" t="str">
        <f t="shared" si="31"/>
        <v>Funcionário</v>
      </c>
    </row>
    <row r="422" spans="1:5">
      <c r="A422" s="4" t="str">
        <f t="shared" si="28"/>
        <v>1</v>
      </c>
      <c r="B422" s="4" t="str">
        <f>"WALTER DA SILVA"</f>
        <v>WALTER DA SILVA</v>
      </c>
      <c r="C422" s="4" t="str">
        <f>"OFICIAL DE PRODUCAO INDUSTRIAL"</f>
        <v>OFICIAL DE PRODUCAO INDUSTRIAL</v>
      </c>
      <c r="D422" s="5">
        <v>100</v>
      </c>
      <c r="E422" s="4" t="str">
        <f t="shared" si="31"/>
        <v>Funcionário</v>
      </c>
    </row>
    <row r="423" spans="1:5">
      <c r="A423" s="4" t="str">
        <f t="shared" si="28"/>
        <v>1</v>
      </c>
      <c r="B423" s="4" t="str">
        <f>"WANDERSON SILVA DOMINGUES"</f>
        <v>WANDERSON SILVA DOMINGUES</v>
      </c>
      <c r="C423" s="4" t="str">
        <f>"OFICIAL DE PRODUCAO INDUSTRIAL"</f>
        <v>OFICIAL DE PRODUCAO INDUSTRIAL</v>
      </c>
      <c r="D423" s="5">
        <v>100</v>
      </c>
      <c r="E423" s="4" t="str">
        <f>"Aposentado"</f>
        <v>Aposentado</v>
      </c>
    </row>
    <row r="424" spans="1:5">
      <c r="A424" s="4" t="str">
        <f t="shared" si="28"/>
        <v>1</v>
      </c>
      <c r="B424" s="4" t="str">
        <f>"WANISE ANDREA DA SILVA"</f>
        <v>WANISE ANDREA DA SILVA</v>
      </c>
      <c r="C424" s="4" t="str">
        <f>"BOMBEIRO CIVIL"</f>
        <v>BOMBEIRO CIVIL</v>
      </c>
      <c r="D424" s="5">
        <v>100</v>
      </c>
      <c r="E424" s="4" t="str">
        <f>"Funcionário"</f>
        <v>Funcionário</v>
      </c>
    </row>
    <row r="425" spans="1:5">
      <c r="A425" s="4" t="str">
        <f t="shared" si="28"/>
        <v>1</v>
      </c>
      <c r="B425" s="4" t="str">
        <f>"WILLIANS CARVALHO DOS SANTOS"</f>
        <v>WILLIANS CARVALHO DOS SANTOS</v>
      </c>
      <c r="C425" s="4" t="str">
        <f>"OFICIAL DE PRODUCAO INDUSTRIAL"</f>
        <v>OFICIAL DE PRODUCAO INDUSTRIAL</v>
      </c>
      <c r="D425" s="5">
        <v>100</v>
      </c>
      <c r="E425" s="4" t="str">
        <f>"Funcionário"</f>
        <v>Funcionário</v>
      </c>
    </row>
    <row r="426" spans="1:5">
      <c r="A426" s="4" t="str">
        <f t="shared" si="28"/>
        <v>1</v>
      </c>
      <c r="B426" s="4" t="str">
        <f>"WISLEY HENRIQUE CORREA DA SILVA"</f>
        <v>WISLEY HENRIQUE CORREA DA SILVA</v>
      </c>
      <c r="C426" s="4" t="str">
        <f>"OFICIAL DE PRODUCAO INDUSTRIAL"</f>
        <v>OFICIAL DE PRODUCAO INDUSTRIAL</v>
      </c>
      <c r="D426" s="5">
        <v>100</v>
      </c>
      <c r="E426" s="4" t="str">
        <f>"Funcionário"</f>
        <v>Funcionário</v>
      </c>
    </row>
    <row r="427" spans="1:5">
      <c r="A427" s="4" t="str">
        <f t="shared" si="28"/>
        <v>1</v>
      </c>
      <c r="B427" s="4" t="str">
        <f>"WISLEY HUMBERTO BONAMICHI"</f>
        <v>WISLEY HUMBERTO BONAMICHI</v>
      </c>
      <c r="C427" s="4" t="str">
        <f>"MOTORISTA MOP"</f>
        <v>MOTORISTA MOP</v>
      </c>
      <c r="D427" s="5">
        <v>100</v>
      </c>
      <c r="E427" s="4" t="str">
        <f>"Funcionário"</f>
        <v>Funcionário</v>
      </c>
    </row>
    <row r="428" spans="1:5">
      <c r="A428" s="4" t="str">
        <f t="shared" ref="A428:A434" si="32">"111"</f>
        <v>111</v>
      </c>
      <c r="B428" s="4" t="str">
        <f>"DENILSON LAVARDA PACHECO"</f>
        <v>DENILSON LAVARDA PACHECO</v>
      </c>
      <c r="C428" s="4" t="str">
        <f t="shared" ref="C428:C470" si="33">"MILITAR PTTC"</f>
        <v>MILITAR PTTC</v>
      </c>
      <c r="D428" s="5">
        <v>0</v>
      </c>
      <c r="E428" s="4" t="str">
        <f t="shared" ref="E428:E434" si="34">"Estagiário"</f>
        <v>Estagiário</v>
      </c>
    </row>
    <row r="429" spans="1:5">
      <c r="A429" s="4" t="str">
        <f t="shared" si="32"/>
        <v>111</v>
      </c>
      <c r="B429" s="4" t="str">
        <f>"EVERTON SCILLA DE FREITAS"</f>
        <v>EVERTON SCILLA DE FREITAS</v>
      </c>
      <c r="C429" s="4" t="str">
        <f t="shared" si="33"/>
        <v>MILITAR PTTC</v>
      </c>
      <c r="D429" s="5">
        <v>0</v>
      </c>
      <c r="E429" s="4" t="str">
        <f t="shared" si="34"/>
        <v>Estagiário</v>
      </c>
    </row>
    <row r="430" spans="1:5">
      <c r="A430" s="4" t="str">
        <f t="shared" si="32"/>
        <v>111</v>
      </c>
      <c r="B430" s="4" t="str">
        <f>"LUIZ CARLOS FERNANDES"</f>
        <v>LUIZ CARLOS FERNANDES</v>
      </c>
      <c r="C430" s="4" t="str">
        <f t="shared" si="33"/>
        <v>MILITAR PTTC</v>
      </c>
      <c r="D430" s="5">
        <v>0</v>
      </c>
      <c r="E430" s="4" t="str">
        <f t="shared" si="34"/>
        <v>Estagiário</v>
      </c>
    </row>
    <row r="431" spans="1:5">
      <c r="A431" s="4" t="str">
        <f t="shared" si="32"/>
        <v>111</v>
      </c>
      <c r="B431" s="4" t="str">
        <f>"MARCIO ANDRE GONÇALVES"</f>
        <v>MARCIO ANDRE GONÇALVES</v>
      </c>
      <c r="C431" s="4" t="str">
        <f t="shared" si="33"/>
        <v>MILITAR PTTC</v>
      </c>
      <c r="D431" s="5">
        <v>0</v>
      </c>
      <c r="E431" s="4" t="str">
        <f t="shared" si="34"/>
        <v>Estagiário</v>
      </c>
    </row>
    <row r="432" spans="1:5">
      <c r="A432" s="4" t="str">
        <f t="shared" si="32"/>
        <v>111</v>
      </c>
      <c r="B432" s="4" t="str">
        <f>"PAULO SILAS GOMES MOREIRA"</f>
        <v>PAULO SILAS GOMES MOREIRA</v>
      </c>
      <c r="C432" s="4" t="str">
        <f t="shared" si="33"/>
        <v>MILITAR PTTC</v>
      </c>
      <c r="D432" s="5">
        <v>0</v>
      </c>
      <c r="E432" s="4" t="str">
        <f t="shared" si="34"/>
        <v>Estagiário</v>
      </c>
    </row>
    <row r="433" spans="1:5">
      <c r="A433" s="4" t="str">
        <f t="shared" si="32"/>
        <v>111</v>
      </c>
      <c r="B433" s="4" t="str">
        <f>"ROGERIO REIS DE ALMEIDA"</f>
        <v>ROGERIO REIS DE ALMEIDA</v>
      </c>
      <c r="C433" s="4" t="str">
        <f t="shared" si="33"/>
        <v>MILITAR PTTC</v>
      </c>
      <c r="D433" s="5">
        <v>0</v>
      </c>
      <c r="E433" s="4" t="str">
        <f t="shared" si="34"/>
        <v>Estagiário</v>
      </c>
    </row>
    <row r="434" spans="1:5">
      <c r="A434" s="4" t="str">
        <f t="shared" si="32"/>
        <v>111</v>
      </c>
      <c r="B434" s="4" t="str">
        <f>"VLADIMIR LOURENÇO GODOY"</f>
        <v>VLADIMIR LOURENÇO GODOY</v>
      </c>
      <c r="C434" s="4" t="str">
        <f t="shared" si="33"/>
        <v>MILITAR PTTC</v>
      </c>
      <c r="D434" s="5">
        <v>0</v>
      </c>
      <c r="E434" s="4" t="str">
        <f t="shared" si="34"/>
        <v>Estagiário</v>
      </c>
    </row>
    <row r="435" spans="1:5">
      <c r="A435" s="4" t="str">
        <f t="shared" ref="A435:A441" si="35">"112"</f>
        <v>112</v>
      </c>
      <c r="B435" s="4" t="str">
        <f>"GILDERSON RUBENS DA SILVA"</f>
        <v>GILDERSON RUBENS DA SILVA</v>
      </c>
      <c r="C435" s="4" t="str">
        <f t="shared" si="33"/>
        <v>MILITAR PTTC</v>
      </c>
      <c r="D435" s="5">
        <v>0</v>
      </c>
      <c r="E435" s="4" t="str">
        <f t="shared" ref="E435:E444" si="36">"Funcionário"</f>
        <v>Funcionário</v>
      </c>
    </row>
    <row r="436" spans="1:5">
      <c r="A436" s="4" t="str">
        <f t="shared" si="35"/>
        <v>112</v>
      </c>
      <c r="B436" s="4" t="str">
        <f>"HAMILTON LOPES LOURES"</f>
        <v>HAMILTON LOPES LOURES</v>
      </c>
      <c r="C436" s="4" t="str">
        <f t="shared" si="33"/>
        <v>MILITAR PTTC</v>
      </c>
      <c r="D436" s="5">
        <v>0</v>
      </c>
      <c r="E436" s="4" t="str">
        <f t="shared" si="36"/>
        <v>Funcionário</v>
      </c>
    </row>
    <row r="437" spans="1:5">
      <c r="A437" s="4" t="str">
        <f t="shared" si="35"/>
        <v>112</v>
      </c>
      <c r="B437" s="4" t="str">
        <f>"IVO DE ARAÚJO LIMA MENEZES"</f>
        <v>IVO DE ARAÚJO LIMA MENEZES</v>
      </c>
      <c r="C437" s="4" t="str">
        <f t="shared" si="33"/>
        <v>MILITAR PTTC</v>
      </c>
      <c r="D437" s="5">
        <v>0</v>
      </c>
      <c r="E437" s="4" t="str">
        <f t="shared" si="36"/>
        <v>Funcionário</v>
      </c>
    </row>
    <row r="438" spans="1:5">
      <c r="A438" s="4" t="str">
        <f t="shared" si="35"/>
        <v>112</v>
      </c>
      <c r="B438" s="4" t="str">
        <f>"JOSELINO ANGONESI"</f>
        <v>JOSELINO ANGONESI</v>
      </c>
      <c r="C438" s="4" t="str">
        <f t="shared" si="33"/>
        <v>MILITAR PTTC</v>
      </c>
      <c r="D438" s="5">
        <v>0</v>
      </c>
      <c r="E438" s="4" t="str">
        <f t="shared" si="36"/>
        <v>Funcionário</v>
      </c>
    </row>
    <row r="439" spans="1:5">
      <c r="A439" s="4" t="str">
        <f t="shared" si="35"/>
        <v>112</v>
      </c>
      <c r="B439" s="4" t="str">
        <f>"PEDRO PAULO ALVES FERNANDES"</f>
        <v>PEDRO PAULO ALVES FERNANDES</v>
      </c>
      <c r="C439" s="4" t="str">
        <f t="shared" si="33"/>
        <v>MILITAR PTTC</v>
      </c>
      <c r="D439" s="5">
        <v>0</v>
      </c>
      <c r="E439" s="4" t="str">
        <f t="shared" si="36"/>
        <v>Funcionário</v>
      </c>
    </row>
    <row r="440" spans="1:5">
      <c r="A440" s="4" t="str">
        <f t="shared" si="35"/>
        <v>112</v>
      </c>
      <c r="B440" s="4" t="str">
        <f>"SANDRO CIPRIANO LIMA"</f>
        <v>SANDRO CIPRIANO LIMA</v>
      </c>
      <c r="C440" s="4" t="str">
        <f t="shared" si="33"/>
        <v>MILITAR PTTC</v>
      </c>
      <c r="D440" s="5">
        <v>0</v>
      </c>
      <c r="E440" s="4" t="str">
        <f t="shared" si="36"/>
        <v>Funcionário</v>
      </c>
    </row>
    <row r="441" spans="1:5">
      <c r="A441" s="4" t="str">
        <f t="shared" si="35"/>
        <v>112</v>
      </c>
      <c r="B441" s="4" t="str">
        <f>"WASHINGTON LUIS RODRIGUES DA SILVA"</f>
        <v>WASHINGTON LUIS RODRIGUES DA SILVA</v>
      </c>
      <c r="C441" s="4" t="str">
        <f t="shared" si="33"/>
        <v>MILITAR PTTC</v>
      </c>
      <c r="D441" s="5">
        <v>0</v>
      </c>
      <c r="E441" s="4" t="str">
        <f t="shared" si="36"/>
        <v>Funcionário</v>
      </c>
    </row>
    <row r="442" spans="1:5">
      <c r="A442" s="4" t="str">
        <f>"114"</f>
        <v>114</v>
      </c>
      <c r="B442" s="4" t="str">
        <f>"ELMIR BRANDÃO GALINDO"</f>
        <v>ELMIR BRANDÃO GALINDO</v>
      </c>
      <c r="C442" s="4" t="str">
        <f t="shared" si="33"/>
        <v>MILITAR PTTC</v>
      </c>
      <c r="D442" s="5">
        <v>0</v>
      </c>
      <c r="E442" s="4" t="str">
        <f t="shared" si="36"/>
        <v>Funcionário</v>
      </c>
    </row>
    <row r="443" spans="1:5">
      <c r="A443" s="4" t="str">
        <f>"114"</f>
        <v>114</v>
      </c>
      <c r="B443" s="4" t="str">
        <f>"MOACYR ALVES DE ALBUQUERQUE"</f>
        <v>MOACYR ALVES DE ALBUQUERQUE</v>
      </c>
      <c r="C443" s="4" t="str">
        <f t="shared" si="33"/>
        <v>MILITAR PTTC</v>
      </c>
      <c r="D443" s="5">
        <v>0</v>
      </c>
      <c r="E443" s="4" t="str">
        <f t="shared" si="36"/>
        <v>Funcionário</v>
      </c>
    </row>
    <row r="444" spans="1:5">
      <c r="A444" s="4" t="str">
        <f>"114"</f>
        <v>114</v>
      </c>
      <c r="B444" s="4" t="str">
        <f>"PAULO ROBERTO BARBOSA DE SOUZA"</f>
        <v>PAULO ROBERTO BARBOSA DE SOUZA</v>
      </c>
      <c r="C444" s="4" t="str">
        <f t="shared" si="33"/>
        <v>MILITAR PTTC</v>
      </c>
      <c r="D444" s="5">
        <v>0</v>
      </c>
      <c r="E444" s="4" t="str">
        <f t="shared" si="36"/>
        <v>Funcionário</v>
      </c>
    </row>
    <row r="445" spans="1:5">
      <c r="A445" s="4" t="str">
        <f>"114"</f>
        <v>114</v>
      </c>
      <c r="B445" s="4" t="str">
        <f>"VICTOR MADIO DI SESSA"</f>
        <v>VICTOR MADIO DI SESSA</v>
      </c>
      <c r="C445" s="4" t="str">
        <f t="shared" si="33"/>
        <v>MILITAR PTTC</v>
      </c>
      <c r="D445" s="5">
        <v>0</v>
      </c>
      <c r="E445" s="4" t="str">
        <f t="shared" ref="E445:E470" si="37">"Estagiário"</f>
        <v>Estagiário</v>
      </c>
    </row>
    <row r="446" spans="1:5">
      <c r="A446" s="4" t="str">
        <f t="shared" ref="A446:A451" si="38">"115"</f>
        <v>115</v>
      </c>
      <c r="B446" s="4" t="str">
        <f>"ADILSON BATISTA DE OLIVEIRA"</f>
        <v>ADILSON BATISTA DE OLIVEIRA</v>
      </c>
      <c r="C446" s="4" t="str">
        <f t="shared" si="33"/>
        <v>MILITAR PTTC</v>
      </c>
      <c r="D446" s="5">
        <v>0</v>
      </c>
      <c r="E446" s="4" t="str">
        <f t="shared" si="37"/>
        <v>Estagiário</v>
      </c>
    </row>
    <row r="447" spans="1:5">
      <c r="A447" s="4" t="str">
        <f t="shared" si="38"/>
        <v>115</v>
      </c>
      <c r="B447" s="4" t="str">
        <f>"AILTON EMIDIO"</f>
        <v>AILTON EMIDIO</v>
      </c>
      <c r="C447" s="4" t="str">
        <f t="shared" si="33"/>
        <v>MILITAR PTTC</v>
      </c>
      <c r="D447" s="5">
        <v>0</v>
      </c>
      <c r="E447" s="4" t="str">
        <f t="shared" si="37"/>
        <v>Estagiário</v>
      </c>
    </row>
    <row r="448" spans="1:5">
      <c r="A448" s="4" t="str">
        <f t="shared" si="38"/>
        <v>115</v>
      </c>
      <c r="B448" s="4" t="str">
        <f>"ALOISIO DE OLIVEIRA BERNARDES"</f>
        <v>ALOISIO DE OLIVEIRA BERNARDES</v>
      </c>
      <c r="C448" s="4" t="str">
        <f t="shared" si="33"/>
        <v>MILITAR PTTC</v>
      </c>
      <c r="D448" s="5">
        <v>0</v>
      </c>
      <c r="E448" s="4" t="str">
        <f t="shared" si="37"/>
        <v>Estagiário</v>
      </c>
    </row>
    <row r="449" spans="1:5">
      <c r="A449" s="4" t="str">
        <f t="shared" si="38"/>
        <v>115</v>
      </c>
      <c r="B449" s="4" t="str">
        <f>"CLAUDENIR DA SILVA LIMA"</f>
        <v>CLAUDENIR DA SILVA LIMA</v>
      </c>
      <c r="C449" s="4" t="str">
        <f t="shared" si="33"/>
        <v>MILITAR PTTC</v>
      </c>
      <c r="D449" s="5">
        <v>0</v>
      </c>
      <c r="E449" s="4" t="str">
        <f t="shared" si="37"/>
        <v>Estagiário</v>
      </c>
    </row>
    <row r="450" spans="1:5">
      <c r="A450" s="4" t="str">
        <f t="shared" si="38"/>
        <v>115</v>
      </c>
      <c r="B450" s="4" t="str">
        <f>"DELCIO MONTEIRO SAPPER"</f>
        <v>DELCIO MONTEIRO SAPPER</v>
      </c>
      <c r="C450" s="4" t="str">
        <f t="shared" si="33"/>
        <v>MILITAR PTTC</v>
      </c>
      <c r="D450" s="5">
        <v>505</v>
      </c>
      <c r="E450" s="4" t="str">
        <f t="shared" si="37"/>
        <v>Estagiário</v>
      </c>
    </row>
    <row r="451" spans="1:5">
      <c r="A451" s="4" t="str">
        <f t="shared" si="38"/>
        <v>115</v>
      </c>
      <c r="B451" s="4" t="str">
        <f>"SECUNDO HENRIQUE VIRLA"</f>
        <v>SECUNDO HENRIQUE VIRLA</v>
      </c>
      <c r="C451" s="4" t="str">
        <f t="shared" si="33"/>
        <v>MILITAR PTTC</v>
      </c>
      <c r="D451" s="5">
        <v>0</v>
      </c>
      <c r="E451" s="4" t="str">
        <f t="shared" si="37"/>
        <v>Estagiário</v>
      </c>
    </row>
    <row r="452" spans="1:5">
      <c r="A452" s="4" t="str">
        <f>"116"</f>
        <v>116</v>
      </c>
      <c r="B452" s="4" t="str">
        <f>"CHARLLES CESAR DE ABREU"</f>
        <v>CHARLLES CESAR DE ABREU</v>
      </c>
      <c r="C452" s="4" t="str">
        <f t="shared" si="33"/>
        <v>MILITAR PTTC</v>
      </c>
      <c r="D452" s="5">
        <v>0</v>
      </c>
      <c r="E452" s="4" t="str">
        <f t="shared" si="37"/>
        <v>Estagiário</v>
      </c>
    </row>
    <row r="453" spans="1:5">
      <c r="A453" s="4" t="str">
        <f>"116"</f>
        <v>116</v>
      </c>
      <c r="B453" s="4" t="str">
        <f>"HOMERO DE PAULA PEREIRA NETO"</f>
        <v>HOMERO DE PAULA PEREIRA NETO</v>
      </c>
      <c r="C453" s="4" t="str">
        <f t="shared" si="33"/>
        <v>MILITAR PTTC</v>
      </c>
      <c r="D453" s="5">
        <v>0</v>
      </c>
      <c r="E453" s="4" t="str">
        <f t="shared" si="37"/>
        <v>Estagiário</v>
      </c>
    </row>
    <row r="454" spans="1:5">
      <c r="A454" s="4" t="str">
        <f>"116"</f>
        <v>116</v>
      </c>
      <c r="B454" s="4" t="str">
        <f>"MARCELO FIGUEIREDO"</f>
        <v>MARCELO FIGUEIREDO</v>
      </c>
      <c r="C454" s="4" t="str">
        <f t="shared" si="33"/>
        <v>MILITAR PTTC</v>
      </c>
      <c r="D454" s="5">
        <v>0</v>
      </c>
      <c r="E454" s="4" t="str">
        <f t="shared" si="37"/>
        <v>Estagiário</v>
      </c>
    </row>
    <row r="455" spans="1:5">
      <c r="A455" s="4" t="str">
        <f>"116"</f>
        <v>116</v>
      </c>
      <c r="B455" s="4" t="str">
        <f>"MÁRCIO DUARTE SANTOS"</f>
        <v>MÁRCIO DUARTE SANTOS</v>
      </c>
      <c r="C455" s="4" t="str">
        <f t="shared" si="33"/>
        <v>MILITAR PTTC</v>
      </c>
      <c r="D455" s="5">
        <v>0</v>
      </c>
      <c r="E455" s="4" t="str">
        <f t="shared" si="37"/>
        <v>Estagiário</v>
      </c>
    </row>
    <row r="456" spans="1:5">
      <c r="A456" s="4" t="str">
        <f>"116"</f>
        <v>116</v>
      </c>
      <c r="B456" s="4" t="str">
        <f>"PAULO CEZAR FERREIRA GONÇALVES"</f>
        <v>PAULO CEZAR FERREIRA GONÇALVES</v>
      </c>
      <c r="C456" s="4" t="str">
        <f t="shared" si="33"/>
        <v>MILITAR PTTC</v>
      </c>
      <c r="D456" s="5">
        <v>0</v>
      </c>
      <c r="E456" s="4" t="str">
        <f t="shared" si="37"/>
        <v>Estagiário</v>
      </c>
    </row>
    <row r="457" spans="1:5">
      <c r="A457" s="4" t="str">
        <f t="shared" ref="A457:A470" si="39">"119"</f>
        <v>119</v>
      </c>
      <c r="B457" s="4" t="str">
        <f>"ALAN DA SILVA DINIS"</f>
        <v>ALAN DA SILVA DINIS</v>
      </c>
      <c r="C457" s="4" t="str">
        <f t="shared" si="33"/>
        <v>MILITAR PTTC</v>
      </c>
      <c r="D457" s="5">
        <v>0</v>
      </c>
      <c r="E457" s="4" t="str">
        <f t="shared" si="37"/>
        <v>Estagiário</v>
      </c>
    </row>
    <row r="458" spans="1:5">
      <c r="A458" s="4" t="str">
        <f t="shared" si="39"/>
        <v>119</v>
      </c>
      <c r="B458" s="4" t="str">
        <f>"CARLOS ALBERTO SPOHR MARTINS"</f>
        <v>CARLOS ALBERTO SPOHR MARTINS</v>
      </c>
      <c r="C458" s="4" t="str">
        <f t="shared" si="33"/>
        <v>MILITAR PTTC</v>
      </c>
      <c r="D458" s="5">
        <v>0</v>
      </c>
      <c r="E458" s="4" t="str">
        <f t="shared" si="37"/>
        <v>Estagiário</v>
      </c>
    </row>
    <row r="459" spans="1:5">
      <c r="A459" s="4" t="str">
        <f t="shared" si="39"/>
        <v>119</v>
      </c>
      <c r="B459" s="4" t="str">
        <f>"GERLI DOS SANTOS"</f>
        <v>GERLI DOS SANTOS</v>
      </c>
      <c r="C459" s="4" t="str">
        <f t="shared" si="33"/>
        <v>MILITAR PTTC</v>
      </c>
      <c r="D459" s="5">
        <v>0</v>
      </c>
      <c r="E459" s="4" t="str">
        <f t="shared" si="37"/>
        <v>Estagiário</v>
      </c>
    </row>
    <row r="460" spans="1:5">
      <c r="A460" s="4" t="str">
        <f t="shared" si="39"/>
        <v>119</v>
      </c>
      <c r="B460" s="4" t="str">
        <f>"GILMAR DA CRUZ DE ALENCAR"</f>
        <v>GILMAR DA CRUZ DE ALENCAR</v>
      </c>
      <c r="C460" s="4" t="str">
        <f t="shared" si="33"/>
        <v>MILITAR PTTC</v>
      </c>
      <c r="D460" s="5">
        <v>0</v>
      </c>
      <c r="E460" s="4" t="str">
        <f t="shared" si="37"/>
        <v>Estagiário</v>
      </c>
    </row>
    <row r="461" spans="1:5">
      <c r="A461" s="4" t="str">
        <f t="shared" si="39"/>
        <v>119</v>
      </c>
      <c r="B461" s="4" t="str">
        <f>"JOAO BATISTA DA SILVA"</f>
        <v>JOAO BATISTA DA SILVA</v>
      </c>
      <c r="C461" s="4" t="str">
        <f t="shared" si="33"/>
        <v>MILITAR PTTC</v>
      </c>
      <c r="D461" s="5">
        <v>0</v>
      </c>
      <c r="E461" s="4" t="str">
        <f t="shared" si="37"/>
        <v>Estagiário</v>
      </c>
    </row>
    <row r="462" spans="1:5">
      <c r="A462" s="4" t="str">
        <f t="shared" si="39"/>
        <v>119</v>
      </c>
      <c r="B462" s="4" t="str">
        <f>"JOSE RICARDO PEIXOTO"</f>
        <v>JOSE RICARDO PEIXOTO</v>
      </c>
      <c r="C462" s="4" t="str">
        <f t="shared" si="33"/>
        <v>MILITAR PTTC</v>
      </c>
      <c r="D462" s="5">
        <v>0</v>
      </c>
      <c r="E462" s="4" t="str">
        <f t="shared" si="37"/>
        <v>Estagiário</v>
      </c>
    </row>
    <row r="463" spans="1:5">
      <c r="A463" s="4" t="str">
        <f t="shared" si="39"/>
        <v>119</v>
      </c>
      <c r="B463" s="4" t="str">
        <f>"MARCELO DA SILVA PINTO"</f>
        <v>MARCELO DA SILVA PINTO</v>
      </c>
      <c r="C463" s="4" t="str">
        <f t="shared" si="33"/>
        <v>MILITAR PTTC</v>
      </c>
      <c r="D463" s="5">
        <v>0</v>
      </c>
      <c r="E463" s="4" t="str">
        <f t="shared" si="37"/>
        <v>Estagiário</v>
      </c>
    </row>
    <row r="464" spans="1:5">
      <c r="A464" s="4" t="str">
        <f t="shared" si="39"/>
        <v>119</v>
      </c>
      <c r="B464" s="4" t="str">
        <f>"MARCELO SANCHEZ"</f>
        <v>MARCELO SANCHEZ</v>
      </c>
      <c r="C464" s="4" t="str">
        <f t="shared" si="33"/>
        <v>MILITAR PTTC</v>
      </c>
      <c r="D464" s="5">
        <v>0</v>
      </c>
      <c r="E464" s="4" t="str">
        <f t="shared" si="37"/>
        <v>Estagiário</v>
      </c>
    </row>
    <row r="465" spans="1:5">
      <c r="A465" s="4" t="str">
        <f t="shared" si="39"/>
        <v>119</v>
      </c>
      <c r="B465" s="4" t="str">
        <f>"MARCO ANTONIO MAGALHAES"</f>
        <v>MARCO ANTONIO MAGALHAES</v>
      </c>
      <c r="C465" s="4" t="str">
        <f t="shared" si="33"/>
        <v>MILITAR PTTC</v>
      </c>
      <c r="D465" s="5">
        <v>0</v>
      </c>
      <c r="E465" s="4" t="str">
        <f t="shared" si="37"/>
        <v>Estagiário</v>
      </c>
    </row>
    <row r="466" spans="1:5">
      <c r="A466" s="4" t="str">
        <f t="shared" si="39"/>
        <v>119</v>
      </c>
      <c r="B466" s="4" t="str">
        <f>"MARILIA SANTOS VILLAS BOAS"</f>
        <v>MARILIA SANTOS VILLAS BOAS</v>
      </c>
      <c r="C466" s="4" t="str">
        <f t="shared" si="33"/>
        <v>MILITAR PTTC</v>
      </c>
      <c r="D466" s="5">
        <v>0</v>
      </c>
      <c r="E466" s="4" t="str">
        <f t="shared" si="37"/>
        <v>Estagiário</v>
      </c>
    </row>
    <row r="467" spans="1:5">
      <c r="A467" s="4" t="str">
        <f t="shared" si="39"/>
        <v>119</v>
      </c>
      <c r="B467" s="4" t="str">
        <f>"MAURO FIALHO DE LIMA E SOUZA"</f>
        <v>MAURO FIALHO DE LIMA E SOUZA</v>
      </c>
      <c r="C467" s="4" t="str">
        <f t="shared" si="33"/>
        <v>MILITAR PTTC</v>
      </c>
      <c r="D467" s="5">
        <v>0</v>
      </c>
      <c r="E467" s="4" t="str">
        <f t="shared" si="37"/>
        <v>Estagiário</v>
      </c>
    </row>
    <row r="468" spans="1:5">
      <c r="A468" s="4" t="str">
        <f t="shared" si="39"/>
        <v>119</v>
      </c>
      <c r="B468" s="4" t="str">
        <f>"PAULO ROBERTO CORIOLANO"</f>
        <v>PAULO ROBERTO CORIOLANO</v>
      </c>
      <c r="C468" s="4" t="str">
        <f t="shared" si="33"/>
        <v>MILITAR PTTC</v>
      </c>
      <c r="D468" s="5">
        <v>0</v>
      </c>
      <c r="E468" s="4" t="str">
        <f t="shared" si="37"/>
        <v>Estagiário</v>
      </c>
    </row>
    <row r="469" spans="1:5">
      <c r="A469" s="4" t="str">
        <f t="shared" si="39"/>
        <v>119</v>
      </c>
      <c r="B469" s="4" t="str">
        <f>"ROBERTO GOMES FRANCISCO"</f>
        <v>ROBERTO GOMES FRANCISCO</v>
      </c>
      <c r="C469" s="4" t="str">
        <f t="shared" si="33"/>
        <v>MILITAR PTTC</v>
      </c>
      <c r="D469" s="5">
        <v>0</v>
      </c>
      <c r="E469" s="4" t="str">
        <f t="shared" si="37"/>
        <v>Estagiário</v>
      </c>
    </row>
    <row r="470" spans="1:5">
      <c r="A470" s="4" t="str">
        <f t="shared" si="39"/>
        <v>119</v>
      </c>
      <c r="B470" s="4" t="str">
        <f>"VINÍCIUS PROBA DOS SANTOS"</f>
        <v>VINÍCIUS PROBA DOS SANTOS</v>
      </c>
      <c r="C470" s="4" t="str">
        <f t="shared" si="33"/>
        <v>MILITAR PTTC</v>
      </c>
      <c r="D470" s="5">
        <v>0</v>
      </c>
      <c r="E470" s="4" t="str">
        <f t="shared" si="37"/>
        <v>Estagiário</v>
      </c>
    </row>
    <row r="471" spans="1:5">
      <c r="A471" s="4" t="str">
        <f t="shared" ref="A471:A534" si="40">"2"</f>
        <v>2</v>
      </c>
      <c r="B471" s="4" t="str">
        <f>"ADEMIR SEVERINO DUARTE"</f>
        <v>ADEMIR SEVERINO DUARTE</v>
      </c>
      <c r="C471" s="4" t="str">
        <f>"ENGENHEIRO"</f>
        <v>ENGENHEIRO</v>
      </c>
      <c r="D471" s="5">
        <v>200</v>
      </c>
      <c r="E471" s="4" t="str">
        <f t="shared" ref="E471:E480" si="41">"Funcionário"</f>
        <v>Funcionário</v>
      </c>
    </row>
    <row r="472" spans="1:5">
      <c r="A472" s="4" t="str">
        <f t="shared" si="40"/>
        <v>2</v>
      </c>
      <c r="B472" s="4" t="str">
        <f>"ADILSON FIGUEIREDO"</f>
        <v>ADILSON FIGUEIREDO</v>
      </c>
      <c r="C472" s="4" t="str">
        <f>"OFICIAL DE PRODUCAO INDUSTRIAL"</f>
        <v>OFICIAL DE PRODUCAO INDUSTRIAL</v>
      </c>
      <c r="D472" s="5">
        <v>200</v>
      </c>
      <c r="E472" s="4" t="str">
        <f t="shared" si="41"/>
        <v>Funcionário</v>
      </c>
    </row>
    <row r="473" spans="1:5">
      <c r="A473" s="4" t="str">
        <f t="shared" si="40"/>
        <v>2</v>
      </c>
      <c r="B473" s="4" t="str">
        <f>"ADRIANA LUCIA DE SA"</f>
        <v>ADRIANA LUCIA DE SA</v>
      </c>
      <c r="C473" s="4" t="str">
        <f>"OFICIAL DE PRODUCAO INDUSTRIAL"</f>
        <v>OFICIAL DE PRODUCAO INDUSTRIAL</v>
      </c>
      <c r="D473" s="5">
        <v>200</v>
      </c>
      <c r="E473" s="4" t="str">
        <f t="shared" si="41"/>
        <v>Funcionário</v>
      </c>
    </row>
    <row r="474" spans="1:5">
      <c r="A474" s="4" t="str">
        <f t="shared" si="40"/>
        <v>2</v>
      </c>
      <c r="B474" s="4" t="str">
        <f>"ADRIELLE CRISTINA CANDIDO DE FARIA"</f>
        <v>ADRIELLE CRISTINA CANDIDO DE FARIA</v>
      </c>
      <c r="C474" s="4" t="str">
        <f>"ESPECIALISTA"</f>
        <v>ESPECIALISTA</v>
      </c>
      <c r="D474" s="5">
        <v>200</v>
      </c>
      <c r="E474" s="4" t="str">
        <f t="shared" si="41"/>
        <v>Funcionário</v>
      </c>
    </row>
    <row r="475" spans="1:5">
      <c r="A475" s="4" t="str">
        <f t="shared" si="40"/>
        <v>2</v>
      </c>
      <c r="B475" s="4" t="str">
        <f>"AGNALDO VIEIRA"</f>
        <v>AGNALDO VIEIRA</v>
      </c>
      <c r="C475" s="4" t="str">
        <f>"OFICIAL DE PRODUCAO INDUSTRIAL"</f>
        <v>OFICIAL DE PRODUCAO INDUSTRIAL</v>
      </c>
      <c r="D475" s="5">
        <v>200</v>
      </c>
      <c r="E475" s="4" t="str">
        <f t="shared" si="41"/>
        <v>Funcionário</v>
      </c>
    </row>
    <row r="476" spans="1:5">
      <c r="A476" s="4" t="str">
        <f t="shared" si="40"/>
        <v>2</v>
      </c>
      <c r="B476" s="4" t="str">
        <f>"ALEXANDRE DE OLIVEIRA CAMPOS"</f>
        <v>ALEXANDRE DE OLIVEIRA CAMPOS</v>
      </c>
      <c r="C476" s="4" t="str">
        <f>"AUX TECNICO ADMINISTRATIVO"</f>
        <v>AUX TECNICO ADMINISTRATIVO</v>
      </c>
      <c r="D476" s="5">
        <v>200</v>
      </c>
      <c r="E476" s="4" t="str">
        <f t="shared" si="41"/>
        <v>Funcionário</v>
      </c>
    </row>
    <row r="477" spans="1:5">
      <c r="A477" s="4" t="str">
        <f t="shared" si="40"/>
        <v>2</v>
      </c>
      <c r="B477" s="4" t="str">
        <f>"ALEXANDRE SIERVI CAMPOS"</f>
        <v>ALEXANDRE SIERVI CAMPOS</v>
      </c>
      <c r="C477" s="4" t="str">
        <f>"BOMBEIRO CIVIL"</f>
        <v>BOMBEIRO CIVIL</v>
      </c>
      <c r="D477" s="5">
        <v>200</v>
      </c>
      <c r="E477" s="4" t="str">
        <f t="shared" si="41"/>
        <v>Funcionário</v>
      </c>
    </row>
    <row r="478" spans="1:5">
      <c r="A478" s="4" t="str">
        <f t="shared" si="40"/>
        <v>2</v>
      </c>
      <c r="B478" s="4" t="str">
        <f>"ALICE DO PRADO PAIVA"</f>
        <v>ALICE DO PRADO PAIVA</v>
      </c>
      <c r="C478" s="4" t="str">
        <f>"OFICIAL DE PRODUCAO INDUSTRIAL"</f>
        <v>OFICIAL DE PRODUCAO INDUSTRIAL</v>
      </c>
      <c r="D478" s="5">
        <v>200</v>
      </c>
      <c r="E478" s="4" t="str">
        <f t="shared" si="41"/>
        <v>Funcionário</v>
      </c>
    </row>
    <row r="479" spans="1:5">
      <c r="A479" s="4" t="str">
        <f t="shared" si="40"/>
        <v>2</v>
      </c>
      <c r="B479" s="4" t="str">
        <f>"ALINE MARA DA COSTA RAMOS"</f>
        <v>ALINE MARA DA COSTA RAMOS</v>
      </c>
      <c r="C479" s="4" t="str">
        <f>"TECNICO EM RADIOLOGIA"</f>
        <v>TECNICO EM RADIOLOGIA</v>
      </c>
      <c r="D479" s="5">
        <v>200</v>
      </c>
      <c r="E479" s="4" t="str">
        <f t="shared" si="41"/>
        <v>Funcionário</v>
      </c>
    </row>
    <row r="480" spans="1:5">
      <c r="A480" s="4" t="str">
        <f t="shared" si="40"/>
        <v>2</v>
      </c>
      <c r="B480" s="4" t="str">
        <f>"ANA CLAUDIA DE OLIVEIRA LIMA"</f>
        <v>ANA CLAUDIA DE OLIVEIRA LIMA</v>
      </c>
      <c r="C480" s="4" t="str">
        <f>"OFICIAL DE PRODUCAO INDUSTRIAL"</f>
        <v>OFICIAL DE PRODUCAO INDUSTRIAL</v>
      </c>
      <c r="D480" s="5">
        <v>200</v>
      </c>
      <c r="E480" s="4" t="str">
        <f t="shared" si="41"/>
        <v>Funcionário</v>
      </c>
    </row>
    <row r="481" spans="1:5">
      <c r="A481" s="4" t="str">
        <f t="shared" si="40"/>
        <v>2</v>
      </c>
      <c r="B481" s="4" t="str">
        <f>"ANA LUCIA LEITE"</f>
        <v>ANA LUCIA LEITE</v>
      </c>
      <c r="C481" s="4" t="str">
        <f>"AUX TECNICO ADMINISTRATIVO"</f>
        <v>AUX TECNICO ADMINISTRATIVO</v>
      </c>
      <c r="D481" s="5">
        <v>200</v>
      </c>
      <c r="E481" s="4" t="str">
        <f>"Aposentado"</f>
        <v>Aposentado</v>
      </c>
    </row>
    <row r="482" spans="1:5">
      <c r="A482" s="4" t="str">
        <f t="shared" si="40"/>
        <v>2</v>
      </c>
      <c r="B482" s="4" t="str">
        <f>"ANA PAULA RAMOS DELGADO"</f>
        <v>ANA PAULA RAMOS DELGADO</v>
      </c>
      <c r="C482" s="4" t="str">
        <f>"OFICIAL DE PRODUCAO INDUSTRIAL"</f>
        <v>OFICIAL DE PRODUCAO INDUSTRIAL</v>
      </c>
      <c r="D482" s="5">
        <v>200</v>
      </c>
      <c r="E482" s="4" t="str">
        <f t="shared" ref="E482:E496" si="42">"Funcionário"</f>
        <v>Funcionário</v>
      </c>
    </row>
    <row r="483" spans="1:5">
      <c r="A483" s="4" t="str">
        <f t="shared" si="40"/>
        <v>2</v>
      </c>
      <c r="B483" s="4" t="str">
        <f>"ANDERSON CARDOZO NOGUEIRA"</f>
        <v>ANDERSON CARDOZO NOGUEIRA</v>
      </c>
      <c r="C483" s="4" t="str">
        <f>"TEC INDUSTRIAL ESPECIALIZADO"</f>
        <v>TEC INDUSTRIAL ESPECIALIZADO</v>
      </c>
      <c r="D483" s="5">
        <v>200</v>
      </c>
      <c r="E483" s="4" t="str">
        <f t="shared" si="42"/>
        <v>Funcionário</v>
      </c>
    </row>
    <row r="484" spans="1:5">
      <c r="A484" s="4" t="str">
        <f t="shared" si="40"/>
        <v>2</v>
      </c>
      <c r="B484" s="4" t="str">
        <f>"ANDERSON JOSE DIONISIO"</f>
        <v>ANDERSON JOSE DIONISIO</v>
      </c>
      <c r="C484" s="4" t="str">
        <f>"ANALISTA ESPECIALIZADO"</f>
        <v>ANALISTA ESPECIALIZADO</v>
      </c>
      <c r="D484" s="5">
        <v>200</v>
      </c>
      <c r="E484" s="4" t="str">
        <f t="shared" si="42"/>
        <v>Funcionário</v>
      </c>
    </row>
    <row r="485" spans="1:5">
      <c r="A485" s="4" t="str">
        <f t="shared" si="40"/>
        <v>2</v>
      </c>
      <c r="B485" s="4" t="str">
        <f>"ANDERSON PEIXOTO EITERER"</f>
        <v>ANDERSON PEIXOTO EITERER</v>
      </c>
      <c r="C485" s="4" t="str">
        <f>"AUX TECNICO ADMINISTRATIVO"</f>
        <v>AUX TECNICO ADMINISTRATIVO</v>
      </c>
      <c r="D485" s="5">
        <v>200</v>
      </c>
      <c r="E485" s="4" t="str">
        <f t="shared" si="42"/>
        <v>Funcionário</v>
      </c>
    </row>
    <row r="486" spans="1:5">
      <c r="A486" s="4" t="str">
        <f t="shared" si="40"/>
        <v>2</v>
      </c>
      <c r="B486" s="4" t="str">
        <f>"ANDERSON VILLELA E SOUZA CASTRO"</f>
        <v>ANDERSON VILLELA E SOUZA CASTRO</v>
      </c>
      <c r="C486" s="4" t="str">
        <f>"TEC INDUSTRIAL ESPECIALIZADO"</f>
        <v>TEC INDUSTRIAL ESPECIALIZADO</v>
      </c>
      <c r="D486" s="5">
        <v>200</v>
      </c>
      <c r="E486" s="4" t="str">
        <f t="shared" si="42"/>
        <v>Funcionário</v>
      </c>
    </row>
    <row r="487" spans="1:5">
      <c r="A487" s="4" t="str">
        <f t="shared" si="40"/>
        <v>2</v>
      </c>
      <c r="B487" s="4" t="str">
        <f>"ANDRÉ CRUZ NOGUEIRA"</f>
        <v>ANDRÉ CRUZ NOGUEIRA</v>
      </c>
      <c r="C487" s="4" t="str">
        <f>"MILITAR DA ATIVA"</f>
        <v>MILITAR DA ATIVA</v>
      </c>
      <c r="D487" s="5">
        <v>205</v>
      </c>
      <c r="E487" s="4" t="str">
        <f t="shared" si="42"/>
        <v>Funcionário</v>
      </c>
    </row>
    <row r="488" spans="1:5">
      <c r="A488" s="4" t="str">
        <f t="shared" si="40"/>
        <v>2</v>
      </c>
      <c r="B488" s="4" t="str">
        <f>"ANDRE GUILHERME DE OLIVEIRA"</f>
        <v>ANDRE GUILHERME DE OLIVEIRA</v>
      </c>
      <c r="C488" s="4" t="str">
        <f>"CHEFE DE DIVISAO II"</f>
        <v>CHEFE DE DIVISAO II</v>
      </c>
      <c r="D488" s="5">
        <v>201</v>
      </c>
      <c r="E488" s="4" t="str">
        <f t="shared" si="42"/>
        <v>Funcionário</v>
      </c>
    </row>
    <row r="489" spans="1:5">
      <c r="A489" s="4" t="str">
        <f t="shared" si="40"/>
        <v>2</v>
      </c>
      <c r="B489" s="4" t="str">
        <f>"ANDRE LUIS DA ROCHA ELPES"</f>
        <v>ANDRE LUIS DA ROCHA ELPES</v>
      </c>
      <c r="C489" s="4" t="str">
        <f>"TEC INDUSTRIAL ESPECIALIZADO"</f>
        <v>TEC INDUSTRIAL ESPECIALIZADO</v>
      </c>
      <c r="D489" s="5">
        <v>200</v>
      </c>
      <c r="E489" s="4" t="str">
        <f t="shared" si="42"/>
        <v>Funcionário</v>
      </c>
    </row>
    <row r="490" spans="1:5">
      <c r="A490" s="4" t="str">
        <f t="shared" si="40"/>
        <v>2</v>
      </c>
      <c r="B490" s="4" t="str">
        <f>"ANDRE LUIZ PIRES AMBROZIO"</f>
        <v>ANDRE LUIZ PIRES AMBROZIO</v>
      </c>
      <c r="C490" s="4" t="str">
        <f>"OFICIAL DE PRODUCAO INDUSTRIAL"</f>
        <v>OFICIAL DE PRODUCAO INDUSTRIAL</v>
      </c>
      <c r="D490" s="5">
        <v>200</v>
      </c>
      <c r="E490" s="4" t="str">
        <f t="shared" si="42"/>
        <v>Funcionário</v>
      </c>
    </row>
    <row r="491" spans="1:5">
      <c r="A491" s="4" t="str">
        <f t="shared" si="40"/>
        <v>2</v>
      </c>
      <c r="B491" s="4" t="str">
        <f>"ANDREIA CRISTINA BORGES DOS SANTOS"</f>
        <v>ANDREIA CRISTINA BORGES DOS SANTOS</v>
      </c>
      <c r="C491" s="4" t="str">
        <f>"TECNICO ADM ESPECIALIZADO"</f>
        <v>TECNICO ADM ESPECIALIZADO</v>
      </c>
      <c r="D491" s="5">
        <v>200</v>
      </c>
      <c r="E491" s="4" t="str">
        <f t="shared" si="42"/>
        <v>Funcionário</v>
      </c>
    </row>
    <row r="492" spans="1:5">
      <c r="A492" s="4" t="str">
        <f t="shared" si="40"/>
        <v>2</v>
      </c>
      <c r="B492" s="4" t="str">
        <f>"ANDREY MARIANO DOS SANTOS"</f>
        <v>ANDREY MARIANO DOS SANTOS</v>
      </c>
      <c r="C492" s="4" t="str">
        <f>"MILITAR DA ATIVA"</f>
        <v>MILITAR DA ATIVA</v>
      </c>
      <c r="D492" s="5">
        <v>205</v>
      </c>
      <c r="E492" s="4" t="str">
        <f t="shared" si="42"/>
        <v>Funcionário</v>
      </c>
    </row>
    <row r="493" spans="1:5">
      <c r="A493" s="4" t="str">
        <f t="shared" si="40"/>
        <v>2</v>
      </c>
      <c r="B493" s="4" t="str">
        <f>"ANELIZE APARECIDA DE OLIVEIRA"</f>
        <v>ANELIZE APARECIDA DE OLIVEIRA</v>
      </c>
      <c r="C493" s="4" t="str">
        <f>"OFICIAL DE PRODUCAO INDUSTRIAL"</f>
        <v>OFICIAL DE PRODUCAO INDUSTRIAL</v>
      </c>
      <c r="D493" s="5">
        <v>200</v>
      </c>
      <c r="E493" s="4" t="str">
        <f t="shared" si="42"/>
        <v>Funcionário</v>
      </c>
    </row>
    <row r="494" spans="1:5">
      <c r="A494" s="4" t="str">
        <f t="shared" si="40"/>
        <v>2</v>
      </c>
      <c r="B494" s="4" t="str">
        <f>"ANGELA NASCIMENTO DA FONSECA"</f>
        <v>ANGELA NASCIMENTO DA FONSECA</v>
      </c>
      <c r="C494" s="4" t="str">
        <f>"ENGENHEIRO"</f>
        <v>ENGENHEIRO</v>
      </c>
      <c r="D494" s="5">
        <v>200</v>
      </c>
      <c r="E494" s="4" t="str">
        <f t="shared" si="42"/>
        <v>Funcionário</v>
      </c>
    </row>
    <row r="495" spans="1:5">
      <c r="A495" s="4" t="str">
        <f t="shared" si="40"/>
        <v>2</v>
      </c>
      <c r="B495" s="4" t="str">
        <f>"ANGELICA ALVIM GERHEIM"</f>
        <v>ANGELICA ALVIM GERHEIM</v>
      </c>
      <c r="C495" s="4" t="str">
        <f>"TECNICO ENFERMAGEM DO TRABALHO"</f>
        <v>TECNICO ENFERMAGEM DO TRABALHO</v>
      </c>
      <c r="D495" s="5">
        <v>200</v>
      </c>
      <c r="E495" s="4" t="str">
        <f t="shared" si="42"/>
        <v>Funcionário</v>
      </c>
    </row>
    <row r="496" spans="1:5">
      <c r="A496" s="4" t="str">
        <f t="shared" si="40"/>
        <v>2</v>
      </c>
      <c r="B496" s="4" t="str">
        <f>"ANGÉLICA VAZ DAS GRAÇAS"</f>
        <v>ANGÉLICA VAZ DAS GRAÇAS</v>
      </c>
      <c r="C496" s="4" t="str">
        <f>"ANALISTA ESPECIALIZADO"</f>
        <v>ANALISTA ESPECIALIZADO</v>
      </c>
      <c r="D496" s="5">
        <v>200</v>
      </c>
      <c r="E496" s="4" t="str">
        <f t="shared" si="42"/>
        <v>Funcionário</v>
      </c>
    </row>
    <row r="497" spans="1:5">
      <c r="A497" s="4" t="str">
        <f t="shared" si="40"/>
        <v>2</v>
      </c>
      <c r="B497" s="4" t="str">
        <f>"ANTONIO DA SILVA FILHO"</f>
        <v>ANTONIO DA SILVA FILHO</v>
      </c>
      <c r="C497" s="4" t="str">
        <f>"TEC INDUSTRIAL ESPECIALIZADO"</f>
        <v>TEC INDUSTRIAL ESPECIALIZADO</v>
      </c>
      <c r="D497" s="5">
        <v>200</v>
      </c>
      <c r="E497" s="4" t="str">
        <f>"Aposentado"</f>
        <v>Aposentado</v>
      </c>
    </row>
    <row r="498" spans="1:5">
      <c r="A498" s="4" t="str">
        <f t="shared" si="40"/>
        <v>2</v>
      </c>
      <c r="B498" s="4" t="str">
        <f>"ANTONIO JOSE MARQUES"</f>
        <v>ANTONIO JOSE MARQUES</v>
      </c>
      <c r="C498" s="4" t="str">
        <f>"OPER PRODUCAO III"</f>
        <v>OPER PRODUCAO III</v>
      </c>
      <c r="D498" s="5">
        <v>200</v>
      </c>
      <c r="E498" s="4" t="str">
        <f>"Funcionário"</f>
        <v>Funcionário</v>
      </c>
    </row>
    <row r="499" spans="1:5">
      <c r="A499" s="4" t="str">
        <f t="shared" si="40"/>
        <v>2</v>
      </c>
      <c r="B499" s="4" t="str">
        <f>"ANTÔNIO JOSÉ NEGREIROS ARAÚJO"</f>
        <v>ANTÔNIO JOSÉ NEGREIROS ARAÚJO</v>
      </c>
      <c r="C499" s="4" t="str">
        <f>"ANALISTA ESPECIALIZADO"</f>
        <v>ANALISTA ESPECIALIZADO</v>
      </c>
      <c r="D499" s="5">
        <v>200</v>
      </c>
      <c r="E499" s="4" t="str">
        <f>"Funcionário"</f>
        <v>Funcionário</v>
      </c>
    </row>
    <row r="500" spans="1:5">
      <c r="A500" s="4" t="str">
        <f t="shared" si="40"/>
        <v>2</v>
      </c>
      <c r="B500" s="4" t="str">
        <f>"ARTHUR MAGALHÃES MENDONÇA"</f>
        <v>ARTHUR MAGALHÃES MENDONÇA</v>
      </c>
      <c r="C500" s="4" t="str">
        <f>"Estagiario"</f>
        <v>Estagiario</v>
      </c>
      <c r="D500" s="5">
        <v>35</v>
      </c>
      <c r="E500" s="4" t="str">
        <f>"Estagiário"</f>
        <v>Estagiário</v>
      </c>
    </row>
    <row r="501" spans="1:5">
      <c r="A501" s="4" t="str">
        <f t="shared" si="40"/>
        <v>2</v>
      </c>
      <c r="B501" s="4" t="str">
        <f>"ARY PEREIRA DA SILVA FILHO"</f>
        <v>ARY PEREIRA DA SILVA FILHO</v>
      </c>
      <c r="C501" s="4" t="str">
        <f>"OFICIAL DE PRODUCAO INDUSTRIAL"</f>
        <v>OFICIAL DE PRODUCAO INDUSTRIAL</v>
      </c>
      <c r="D501" s="5">
        <v>200</v>
      </c>
      <c r="E501" s="4" t="str">
        <f>"Aposentado"</f>
        <v>Aposentado</v>
      </c>
    </row>
    <row r="502" spans="1:5">
      <c r="A502" s="4" t="str">
        <f t="shared" si="40"/>
        <v>2</v>
      </c>
      <c r="B502" s="4" t="str">
        <f>"BRENO EMANUEL SOUZA MAULAZ"</f>
        <v>BRENO EMANUEL SOUZA MAULAZ</v>
      </c>
      <c r="C502" s="4" t="str">
        <f>"APRENDIZ- PRODUÇÃO"</f>
        <v>APRENDIZ- PRODUÇÃO</v>
      </c>
      <c r="D502" s="5">
        <v>36</v>
      </c>
      <c r="E502" s="4" t="str">
        <f>"Aprendiz"</f>
        <v>Aprendiz</v>
      </c>
    </row>
    <row r="503" spans="1:5">
      <c r="A503" s="4" t="str">
        <f t="shared" si="40"/>
        <v>2</v>
      </c>
      <c r="B503" s="4" t="str">
        <f>"BRENO PEREIRA ANASTÁCIO"</f>
        <v>BRENO PEREIRA ANASTÁCIO</v>
      </c>
      <c r="C503" s="4" t="str">
        <f>"TEC INDUSTRIAL ESPECIALIZADO"</f>
        <v>TEC INDUSTRIAL ESPECIALIZADO</v>
      </c>
      <c r="D503" s="5">
        <v>200</v>
      </c>
      <c r="E503" s="4" t="str">
        <f t="shared" ref="E503:E508" si="43">"Funcionário"</f>
        <v>Funcionário</v>
      </c>
    </row>
    <row r="504" spans="1:5">
      <c r="A504" s="4" t="str">
        <f t="shared" si="40"/>
        <v>2</v>
      </c>
      <c r="B504" s="4" t="str">
        <f>"BRUCE JARDIM ALCANTARA DE ANDRADE"</f>
        <v>BRUCE JARDIM ALCANTARA DE ANDRADE</v>
      </c>
      <c r="C504" s="4" t="str">
        <f>"TEC INDUSTRIAL ESPECIALIZADO"</f>
        <v>TEC INDUSTRIAL ESPECIALIZADO</v>
      </c>
      <c r="D504" s="5">
        <v>200</v>
      </c>
      <c r="E504" s="4" t="str">
        <f t="shared" si="43"/>
        <v>Funcionário</v>
      </c>
    </row>
    <row r="505" spans="1:5">
      <c r="A505" s="4" t="str">
        <f t="shared" si="40"/>
        <v>2</v>
      </c>
      <c r="B505" s="4" t="str">
        <f>"BRUNO DE CASTRO PASSON"</f>
        <v>BRUNO DE CASTRO PASSON</v>
      </c>
      <c r="C505" s="4" t="str">
        <f>"MILITAR DA ATIVA"</f>
        <v>MILITAR DA ATIVA</v>
      </c>
      <c r="D505" s="5">
        <v>205</v>
      </c>
      <c r="E505" s="4" t="str">
        <f t="shared" si="43"/>
        <v>Funcionário</v>
      </c>
    </row>
    <row r="506" spans="1:5">
      <c r="A506" s="4" t="str">
        <f t="shared" si="40"/>
        <v>2</v>
      </c>
      <c r="B506" s="4" t="str">
        <f>"BRUNO MENTA"</f>
        <v>BRUNO MENTA</v>
      </c>
      <c r="C506" s="4" t="str">
        <f>"TEC INDUSTRIAL ESPECIALIZADO"</f>
        <v>TEC INDUSTRIAL ESPECIALIZADO</v>
      </c>
      <c r="D506" s="5">
        <v>200</v>
      </c>
      <c r="E506" s="4" t="str">
        <f t="shared" si="43"/>
        <v>Funcionário</v>
      </c>
    </row>
    <row r="507" spans="1:5">
      <c r="A507" s="4" t="str">
        <f t="shared" si="40"/>
        <v>2</v>
      </c>
      <c r="B507" s="4" t="str">
        <f>"CAMILA VENTURA THEODORO CASALI"</f>
        <v>CAMILA VENTURA THEODORO CASALI</v>
      </c>
      <c r="C507" s="4" t="str">
        <f>"ESPECIALISTA"</f>
        <v>ESPECIALISTA</v>
      </c>
      <c r="D507" s="5">
        <v>200</v>
      </c>
      <c r="E507" s="4" t="str">
        <f t="shared" si="43"/>
        <v>Funcionário</v>
      </c>
    </row>
    <row r="508" spans="1:5">
      <c r="A508" s="4" t="str">
        <f t="shared" si="40"/>
        <v>2</v>
      </c>
      <c r="B508" s="4" t="str">
        <f>"CARLOS HENRIQUE DOS SANTOS PAVANI"</f>
        <v>CARLOS HENRIQUE DOS SANTOS PAVANI</v>
      </c>
      <c r="C508" s="4" t="str">
        <f>"OFICIAL DE PRODUCAO INDUSTRIAL"</f>
        <v>OFICIAL DE PRODUCAO INDUSTRIAL</v>
      </c>
      <c r="D508" s="5">
        <v>200</v>
      </c>
      <c r="E508" s="4" t="str">
        <f t="shared" si="43"/>
        <v>Funcionário</v>
      </c>
    </row>
    <row r="509" spans="1:5">
      <c r="A509" s="4" t="str">
        <f t="shared" si="40"/>
        <v>2</v>
      </c>
      <c r="B509" s="4" t="str">
        <f>"CARLOS ROBERTO DA SILVA"</f>
        <v>CARLOS ROBERTO DA SILVA</v>
      </c>
      <c r="C509" s="4" t="str">
        <f>"OFICIAL DE PRODUCAO INDUSTRIAL"</f>
        <v>OFICIAL DE PRODUCAO INDUSTRIAL</v>
      </c>
      <c r="D509" s="5">
        <v>200</v>
      </c>
      <c r="E509" s="4" t="str">
        <f>"Aposentado"</f>
        <v>Aposentado</v>
      </c>
    </row>
    <row r="510" spans="1:5">
      <c r="A510" s="4" t="str">
        <f t="shared" si="40"/>
        <v>2</v>
      </c>
      <c r="B510" s="4" t="str">
        <f>"CASSIANO CAMPOS"</f>
        <v>CASSIANO CAMPOS</v>
      </c>
      <c r="C510" s="4" t="str">
        <f>"OPER PRODUCAO III"</f>
        <v>OPER PRODUCAO III</v>
      </c>
      <c r="D510" s="5">
        <v>200</v>
      </c>
      <c r="E510" s="4" t="str">
        <f>"Funcionário"</f>
        <v>Funcionário</v>
      </c>
    </row>
    <row r="511" spans="1:5">
      <c r="A511" s="4" t="str">
        <f t="shared" si="40"/>
        <v>2</v>
      </c>
      <c r="B511" s="4" t="str">
        <f>"CELIO KRAWCZYK PEREIRA"</f>
        <v>CELIO KRAWCZYK PEREIRA</v>
      </c>
      <c r="C511" s="4" t="str">
        <f>"ASSESSOR ESPECIAL III"</f>
        <v>ASSESSOR ESPECIAL III</v>
      </c>
      <c r="D511" s="5">
        <v>201</v>
      </c>
      <c r="E511" s="4" t="str">
        <f>"Funcionário"</f>
        <v>Funcionário</v>
      </c>
    </row>
    <row r="512" spans="1:5">
      <c r="A512" s="4" t="str">
        <f t="shared" si="40"/>
        <v>2</v>
      </c>
      <c r="B512" s="4" t="str">
        <f>"CINTIA REGINA GOMES"</f>
        <v>CINTIA REGINA GOMES</v>
      </c>
      <c r="C512" s="4" t="str">
        <f>"OF FERRAMENTARIA INDUSTRIAL"</f>
        <v>OF FERRAMENTARIA INDUSTRIAL</v>
      </c>
      <c r="D512" s="5">
        <v>200</v>
      </c>
      <c r="E512" s="4" t="str">
        <f>"Funcionário"</f>
        <v>Funcionário</v>
      </c>
    </row>
    <row r="513" spans="1:5">
      <c r="A513" s="4" t="str">
        <f t="shared" si="40"/>
        <v>2</v>
      </c>
      <c r="B513" s="4" t="str">
        <f>"CLAUDIA DOS SANTOS POLICARPO"</f>
        <v>CLAUDIA DOS SANTOS POLICARPO</v>
      </c>
      <c r="C513" s="4" t="str">
        <f>"TEC INDUSTRIAL ESPECIALIZADO"</f>
        <v>TEC INDUSTRIAL ESPECIALIZADO</v>
      </c>
      <c r="D513" s="5">
        <v>200</v>
      </c>
      <c r="E513" s="4" t="str">
        <f>"Funcionário"</f>
        <v>Funcionário</v>
      </c>
    </row>
    <row r="514" spans="1:5">
      <c r="A514" s="4" t="str">
        <f t="shared" si="40"/>
        <v>2</v>
      </c>
      <c r="B514" s="4" t="str">
        <f>"CLAUDIA SIQUEIRA DE FRANCA"</f>
        <v>CLAUDIA SIQUEIRA DE FRANCA</v>
      </c>
      <c r="C514" s="4" t="str">
        <f>"OFICIAL DE PRODUCAO INDUSTRIAL"</f>
        <v>OFICIAL DE PRODUCAO INDUSTRIAL</v>
      </c>
      <c r="D514" s="5">
        <v>200</v>
      </c>
      <c r="E514" s="4" t="str">
        <f>"Funcionário"</f>
        <v>Funcionário</v>
      </c>
    </row>
    <row r="515" spans="1:5">
      <c r="A515" s="4" t="str">
        <f t="shared" si="40"/>
        <v>2</v>
      </c>
      <c r="B515" s="4" t="str">
        <f>"CLAUDIO RIBEIRO DO NASCIMENTO"</f>
        <v>CLAUDIO RIBEIRO DO NASCIMENTO</v>
      </c>
      <c r="C515" s="4" t="str">
        <f>"OFICIAL DE PRODUCAO INDUSTRIAL"</f>
        <v>OFICIAL DE PRODUCAO INDUSTRIAL</v>
      </c>
      <c r="D515" s="5">
        <v>200</v>
      </c>
      <c r="E515" s="4" t="str">
        <f>"Aposentado"</f>
        <v>Aposentado</v>
      </c>
    </row>
    <row r="516" spans="1:5">
      <c r="A516" s="4" t="str">
        <f t="shared" si="40"/>
        <v>2</v>
      </c>
      <c r="B516" s="4" t="str">
        <f>"CLAUDIO ROBERTO SEJANES DA ROCHA"</f>
        <v>CLAUDIO ROBERTO SEJANES DA ROCHA</v>
      </c>
      <c r="C516" s="4" t="str">
        <f>"ASSESSOR CHEFE I"</f>
        <v>ASSESSOR CHEFE I</v>
      </c>
      <c r="D516" s="5">
        <v>201</v>
      </c>
      <c r="E516" s="4" t="str">
        <f>"Funcionário"</f>
        <v>Funcionário</v>
      </c>
    </row>
    <row r="517" spans="1:5">
      <c r="A517" s="4" t="str">
        <f t="shared" si="40"/>
        <v>2</v>
      </c>
      <c r="B517" s="4" t="str">
        <f>"CLAUDIO ROSA DA COSTA"</f>
        <v>CLAUDIO ROSA DA COSTA</v>
      </c>
      <c r="C517" s="4" t="str">
        <f>"TECNICO SEGURANÇA DO TRABALHO"</f>
        <v>TECNICO SEGURANÇA DO TRABALHO</v>
      </c>
      <c r="D517" s="5">
        <v>200</v>
      </c>
      <c r="E517" s="4" t="str">
        <f>"Funcionário"</f>
        <v>Funcionário</v>
      </c>
    </row>
    <row r="518" spans="1:5">
      <c r="A518" s="4" t="str">
        <f t="shared" si="40"/>
        <v>2</v>
      </c>
      <c r="B518" s="4" t="str">
        <f>"CLÉRIO DAMASCENO SOARES"</f>
        <v>CLÉRIO DAMASCENO SOARES</v>
      </c>
      <c r="C518" s="4" t="str">
        <f>"TECNICO ADM ESPECIALIZADO"</f>
        <v>TECNICO ADM ESPECIALIZADO</v>
      </c>
      <c r="D518" s="5">
        <v>200</v>
      </c>
      <c r="E518" s="4" t="str">
        <f>"Funcionário"</f>
        <v>Funcionário</v>
      </c>
    </row>
    <row r="519" spans="1:5">
      <c r="A519" s="4" t="str">
        <f t="shared" si="40"/>
        <v>2</v>
      </c>
      <c r="B519" s="4" t="str">
        <f>"CLEUNICE DE PAULA MARTINS BRITO"</f>
        <v>CLEUNICE DE PAULA MARTINS BRITO</v>
      </c>
      <c r="C519" s="4" t="str">
        <f>"OFICIAL DE PRODUCAO INDUSTRIAL"</f>
        <v>OFICIAL DE PRODUCAO INDUSTRIAL</v>
      </c>
      <c r="D519" s="5">
        <v>200</v>
      </c>
      <c r="E519" s="4" t="str">
        <f>"Aposentado"</f>
        <v>Aposentado</v>
      </c>
    </row>
    <row r="520" spans="1:5">
      <c r="A520" s="4" t="str">
        <f t="shared" si="40"/>
        <v>2</v>
      </c>
      <c r="B520" s="4" t="str">
        <f>"CLEVERSON AROLDO DIMAS DE CARVALHO"</f>
        <v>CLEVERSON AROLDO DIMAS DE CARVALHO</v>
      </c>
      <c r="C520" s="4" t="str">
        <f>"MILITAR DA ATIVA"</f>
        <v>MILITAR DA ATIVA</v>
      </c>
      <c r="D520" s="5">
        <v>205</v>
      </c>
      <c r="E520" s="4" t="str">
        <f t="shared" ref="E520:E526" si="44">"Funcionário"</f>
        <v>Funcionário</v>
      </c>
    </row>
    <row r="521" spans="1:5">
      <c r="A521" s="4" t="str">
        <f t="shared" si="40"/>
        <v>2</v>
      </c>
      <c r="B521" s="4" t="str">
        <f>"CONRADO COUTO LARA FERREIRA"</f>
        <v>CONRADO COUTO LARA FERREIRA</v>
      </c>
      <c r="C521" s="4" t="str">
        <f>"MILITAR DA ATIVA"</f>
        <v>MILITAR DA ATIVA</v>
      </c>
      <c r="D521" s="5">
        <v>205</v>
      </c>
      <c r="E521" s="4" t="str">
        <f t="shared" si="44"/>
        <v>Funcionário</v>
      </c>
    </row>
    <row r="522" spans="1:5">
      <c r="A522" s="4" t="str">
        <f t="shared" si="40"/>
        <v>2</v>
      </c>
      <c r="B522" s="4" t="str">
        <f>"CRISTIANO DE SOUZA REIS"</f>
        <v>CRISTIANO DE SOUZA REIS</v>
      </c>
      <c r="C522" s="4" t="str">
        <f>"AGENTE DE APOIO OPERACIONAL"</f>
        <v>AGENTE DE APOIO OPERACIONAL</v>
      </c>
      <c r="D522" s="5">
        <v>200</v>
      </c>
      <c r="E522" s="4" t="str">
        <f t="shared" si="44"/>
        <v>Funcionário</v>
      </c>
    </row>
    <row r="523" spans="1:5">
      <c r="A523" s="4" t="str">
        <f t="shared" si="40"/>
        <v>2</v>
      </c>
      <c r="B523" s="4" t="str">
        <f>"CRISTINA DE JESUS EVARISTO"</f>
        <v>CRISTINA DE JESUS EVARISTO</v>
      </c>
      <c r="C523" s="4" t="str">
        <f>"AGENTE DE APOIO OPERACIONAL"</f>
        <v>AGENTE DE APOIO OPERACIONAL</v>
      </c>
      <c r="D523" s="5">
        <v>200</v>
      </c>
      <c r="E523" s="4" t="str">
        <f t="shared" si="44"/>
        <v>Funcionário</v>
      </c>
    </row>
    <row r="524" spans="1:5">
      <c r="A524" s="4" t="str">
        <f t="shared" si="40"/>
        <v>2</v>
      </c>
      <c r="B524" s="4" t="str">
        <f>"DAIAN SILVA LINO"</f>
        <v>DAIAN SILVA LINO</v>
      </c>
      <c r="C524" s="4" t="str">
        <f>"OFICIAL DE PRODUCAO INDUSTRIAL"</f>
        <v>OFICIAL DE PRODUCAO INDUSTRIAL</v>
      </c>
      <c r="D524" s="5">
        <v>200</v>
      </c>
      <c r="E524" s="4" t="str">
        <f t="shared" si="44"/>
        <v>Funcionário</v>
      </c>
    </row>
    <row r="525" spans="1:5">
      <c r="A525" s="4" t="str">
        <f t="shared" si="40"/>
        <v>2</v>
      </c>
      <c r="B525" s="4" t="str">
        <f>"DAISY DE CASTRO GONÇALVES DOS SANTOS"</f>
        <v>DAISY DE CASTRO GONÇALVES DOS SANTOS</v>
      </c>
      <c r="C525" s="4" t="str">
        <f>"MÉDICO"</f>
        <v>MÉDICO</v>
      </c>
      <c r="D525" s="5">
        <v>200</v>
      </c>
      <c r="E525" s="4" t="str">
        <f t="shared" si="44"/>
        <v>Funcionário</v>
      </c>
    </row>
    <row r="526" spans="1:5">
      <c r="A526" s="4" t="str">
        <f t="shared" si="40"/>
        <v>2</v>
      </c>
      <c r="B526" s="4" t="str">
        <f>"DANIEL JAIRO DE ALMEIDA LOPES"</f>
        <v>DANIEL JAIRO DE ALMEIDA LOPES</v>
      </c>
      <c r="C526" s="4" t="str">
        <f>"TEC INDUSTRIAL ESPECIALIZADO"</f>
        <v>TEC INDUSTRIAL ESPECIALIZADO</v>
      </c>
      <c r="D526" s="5">
        <v>200</v>
      </c>
      <c r="E526" s="4" t="str">
        <f t="shared" si="44"/>
        <v>Funcionário</v>
      </c>
    </row>
    <row r="527" spans="1:5">
      <c r="A527" s="4" t="str">
        <f t="shared" si="40"/>
        <v>2</v>
      </c>
      <c r="B527" s="4" t="str">
        <f>"DARLAN FARIA MARQUES"</f>
        <v>DARLAN FARIA MARQUES</v>
      </c>
      <c r="C527" s="4" t="str">
        <f>"OFICIAL DE PRODUCAO INDUSTRIAL"</f>
        <v>OFICIAL DE PRODUCAO INDUSTRIAL</v>
      </c>
      <c r="D527" s="5">
        <v>200</v>
      </c>
      <c r="E527" s="4" t="str">
        <f>"Prazo Determinado"</f>
        <v>Prazo Determinado</v>
      </c>
    </row>
    <row r="528" spans="1:5">
      <c r="A528" s="4" t="str">
        <f t="shared" si="40"/>
        <v>2</v>
      </c>
      <c r="B528" s="4" t="str">
        <f>"DAVID AUGUSTO DE MACEDO"</f>
        <v>DAVID AUGUSTO DE MACEDO</v>
      </c>
      <c r="C528" s="4" t="str">
        <f>"OFICIAL DE PRODUCAO INDUSTRIAL"</f>
        <v>OFICIAL DE PRODUCAO INDUSTRIAL</v>
      </c>
      <c r="D528" s="5">
        <v>200</v>
      </c>
      <c r="E528" s="4" t="str">
        <f>"Funcionário"</f>
        <v>Funcionário</v>
      </c>
    </row>
    <row r="529" spans="1:5">
      <c r="A529" s="4" t="str">
        <f t="shared" si="40"/>
        <v>2</v>
      </c>
      <c r="B529" s="4" t="str">
        <f>"DENILSON PIMENTEL BARBETO"</f>
        <v>DENILSON PIMENTEL BARBETO</v>
      </c>
      <c r="C529" s="4" t="str">
        <f>"TEC INDUSTRIAL ESPECIALIZADO"</f>
        <v>TEC INDUSTRIAL ESPECIALIZADO</v>
      </c>
      <c r="D529" s="5">
        <v>200</v>
      </c>
      <c r="E529" s="4" t="str">
        <f>"Funcionário"</f>
        <v>Funcionário</v>
      </c>
    </row>
    <row r="530" spans="1:5">
      <c r="A530" s="4" t="str">
        <f t="shared" si="40"/>
        <v>2</v>
      </c>
      <c r="B530" s="4" t="str">
        <f>"DENISE MANCINI MIRANDA"</f>
        <v>DENISE MANCINI MIRANDA</v>
      </c>
      <c r="C530" s="4" t="str">
        <f>"AUX TECNICO ADMINISTRATIVO"</f>
        <v>AUX TECNICO ADMINISTRATIVO</v>
      </c>
      <c r="D530" s="5">
        <v>200</v>
      </c>
      <c r="E530" s="4" t="str">
        <f>"Aposentado"</f>
        <v>Aposentado</v>
      </c>
    </row>
    <row r="531" spans="1:5">
      <c r="A531" s="4" t="str">
        <f t="shared" si="40"/>
        <v>2</v>
      </c>
      <c r="B531" s="4" t="str">
        <f>"DENNER DE OLIVEIRA REIS"</f>
        <v>DENNER DE OLIVEIRA REIS</v>
      </c>
      <c r="C531" s="4" t="str">
        <f>"TEC INDUSTRIAL ESPECIALIZADO"</f>
        <v>TEC INDUSTRIAL ESPECIALIZADO</v>
      </c>
      <c r="D531" s="5">
        <v>200</v>
      </c>
      <c r="E531" s="4" t="str">
        <f>"Funcionário"</f>
        <v>Funcionário</v>
      </c>
    </row>
    <row r="532" spans="1:5">
      <c r="A532" s="4" t="str">
        <f t="shared" si="40"/>
        <v>2</v>
      </c>
      <c r="B532" s="4" t="str">
        <f>"DILSON JOSE FRANCISCO"</f>
        <v>DILSON JOSE FRANCISCO</v>
      </c>
      <c r="C532" s="4" t="str">
        <f>"AUXILIAR TECNICO INDUSTRIAL"</f>
        <v>AUXILIAR TECNICO INDUSTRIAL</v>
      </c>
      <c r="D532" s="5">
        <v>200</v>
      </c>
      <c r="E532" s="4" t="str">
        <f>"Aposentado"</f>
        <v>Aposentado</v>
      </c>
    </row>
    <row r="533" spans="1:5">
      <c r="A533" s="4" t="str">
        <f t="shared" si="40"/>
        <v>2</v>
      </c>
      <c r="B533" s="4" t="str">
        <f>"DOUGLAS LUIZ DA CRUZ"</f>
        <v>DOUGLAS LUIZ DA CRUZ</v>
      </c>
      <c r="C533" s="4" t="str">
        <f>"TEC INDUSTRIAL ESPECIALIZADO"</f>
        <v>TEC INDUSTRIAL ESPECIALIZADO</v>
      </c>
      <c r="D533" s="5">
        <v>200</v>
      </c>
      <c r="E533" s="4" t="str">
        <f>"Funcionário"</f>
        <v>Funcionário</v>
      </c>
    </row>
    <row r="534" spans="1:5">
      <c r="A534" s="4" t="str">
        <f t="shared" si="40"/>
        <v>2</v>
      </c>
      <c r="B534" s="4" t="str">
        <f>"EDIMAR ROMUALDO LIMA"</f>
        <v>EDIMAR ROMUALDO LIMA</v>
      </c>
      <c r="C534" s="4" t="str">
        <f>"OFICIAL DE PRODUCAO INDUSTRIAL"</f>
        <v>OFICIAL DE PRODUCAO INDUSTRIAL</v>
      </c>
      <c r="D534" s="5">
        <v>200</v>
      </c>
      <c r="E534" s="4" t="str">
        <f>"Aposentado"</f>
        <v>Aposentado</v>
      </c>
    </row>
    <row r="535" spans="1:5">
      <c r="A535" s="4" t="str">
        <f t="shared" ref="A535:A598" si="45">"2"</f>
        <v>2</v>
      </c>
      <c r="B535" s="4" t="str">
        <f>"EDSON DAVID DA SILVA OLIVEIRA"</f>
        <v>EDSON DAVID DA SILVA OLIVEIRA</v>
      </c>
      <c r="C535" s="4" t="str">
        <f>"OFICIAL DE PRODUCAO INDUSTRIAL"</f>
        <v>OFICIAL DE PRODUCAO INDUSTRIAL</v>
      </c>
      <c r="D535" s="5">
        <v>200</v>
      </c>
      <c r="E535" s="4" t="str">
        <f>"Funcionário"</f>
        <v>Funcionário</v>
      </c>
    </row>
    <row r="536" spans="1:5">
      <c r="A536" s="4" t="str">
        <f t="shared" si="45"/>
        <v>2</v>
      </c>
      <c r="B536" s="4" t="str">
        <f>"EDUANY WENDE DOS SANTOS CALLEGARO"</f>
        <v>EDUANY WENDE DOS SANTOS CALLEGARO</v>
      </c>
      <c r="C536" s="4" t="str">
        <f>"ANALISTA ESPECIALIZADO"</f>
        <v>ANALISTA ESPECIALIZADO</v>
      </c>
      <c r="D536" s="5">
        <v>200</v>
      </c>
      <c r="E536" s="4" t="str">
        <f>"Funcionário"</f>
        <v>Funcionário</v>
      </c>
    </row>
    <row r="537" spans="1:5">
      <c r="A537" s="4" t="str">
        <f t="shared" si="45"/>
        <v>2</v>
      </c>
      <c r="B537" s="4" t="str">
        <f>"EDUARDO ANTONIO NOGUEIRA RODRIGUES"</f>
        <v>EDUARDO ANTONIO NOGUEIRA RODRIGUES</v>
      </c>
      <c r="C537" s="4" t="str">
        <f>"AUX TECNICO ADMINISTRATIVO"</f>
        <v>AUX TECNICO ADMINISTRATIVO</v>
      </c>
      <c r="D537" s="5">
        <v>200</v>
      </c>
      <c r="E537" s="4" t="str">
        <f>"Funcionário"</f>
        <v>Funcionário</v>
      </c>
    </row>
    <row r="538" spans="1:5">
      <c r="A538" s="4" t="str">
        <f t="shared" si="45"/>
        <v>2</v>
      </c>
      <c r="B538" s="4" t="str">
        <f>"EDUARDO LEITE TAVARES"</f>
        <v>EDUARDO LEITE TAVARES</v>
      </c>
      <c r="C538" s="4" t="str">
        <f>"ENGENHEIRO"</f>
        <v>ENGENHEIRO</v>
      </c>
      <c r="D538" s="5">
        <v>200</v>
      </c>
      <c r="E538" s="4" t="str">
        <f>"Funcionário"</f>
        <v>Funcionário</v>
      </c>
    </row>
    <row r="539" spans="1:5">
      <c r="A539" s="4" t="str">
        <f t="shared" si="45"/>
        <v>2</v>
      </c>
      <c r="B539" s="4" t="str">
        <f>"ELISA APARECIDA BRAGA AGOSTINHO"</f>
        <v>ELISA APARECIDA BRAGA AGOSTINHO</v>
      </c>
      <c r="C539" s="4" t="str">
        <f>"OFICIAL DE PRODUCAO INDUSTRIAL"</f>
        <v>OFICIAL DE PRODUCAO INDUSTRIAL</v>
      </c>
      <c r="D539" s="5">
        <v>200</v>
      </c>
      <c r="E539" s="4" t="str">
        <f>"Aposentado"</f>
        <v>Aposentado</v>
      </c>
    </row>
    <row r="540" spans="1:5">
      <c r="A540" s="4" t="str">
        <f t="shared" si="45"/>
        <v>2</v>
      </c>
      <c r="B540" s="4" t="str">
        <f>"ELISA REZENDE LINDOLFO"</f>
        <v>ELISA REZENDE LINDOLFO</v>
      </c>
      <c r="C540" s="4" t="str">
        <f>"Estagiario"</f>
        <v>Estagiario</v>
      </c>
      <c r="D540" s="5">
        <v>35</v>
      </c>
      <c r="E540" s="4" t="str">
        <f>"Estagiário"</f>
        <v>Estagiário</v>
      </c>
    </row>
    <row r="541" spans="1:5">
      <c r="A541" s="4" t="str">
        <f t="shared" si="45"/>
        <v>2</v>
      </c>
      <c r="B541" s="4" t="str">
        <f>"ELIZABETH COUTO CORREA"</f>
        <v>ELIZABETH COUTO CORREA</v>
      </c>
      <c r="C541" s="4" t="str">
        <f>"ANALISTA ESPECIALIZADO"</f>
        <v>ANALISTA ESPECIALIZADO</v>
      </c>
      <c r="D541" s="5">
        <v>200</v>
      </c>
      <c r="E541" s="4" t="str">
        <f t="shared" ref="E541:E559" si="46">"Funcionário"</f>
        <v>Funcionário</v>
      </c>
    </row>
    <row r="542" spans="1:5">
      <c r="A542" s="4" t="str">
        <f t="shared" si="45"/>
        <v>2</v>
      </c>
      <c r="B542" s="4" t="str">
        <f>"ENEDINA DE PAULA NETTO DOMINGOS"</f>
        <v>ENEDINA DE PAULA NETTO DOMINGOS</v>
      </c>
      <c r="C542" s="4" t="str">
        <f>"OFICIAL DE PRODUCAO INDUSTRIAL"</f>
        <v>OFICIAL DE PRODUCAO INDUSTRIAL</v>
      </c>
      <c r="D542" s="5">
        <v>200</v>
      </c>
      <c r="E542" s="4" t="str">
        <f t="shared" si="46"/>
        <v>Funcionário</v>
      </c>
    </row>
    <row r="543" spans="1:5">
      <c r="A543" s="4" t="str">
        <f t="shared" si="45"/>
        <v>2</v>
      </c>
      <c r="B543" s="4" t="str">
        <f>"ERIKA MARIA JULIO DA SILVA"</f>
        <v>ERIKA MARIA JULIO DA SILVA</v>
      </c>
      <c r="C543" s="4" t="str">
        <f>"TEC INDUSTRIAL ESPECIALIZADO"</f>
        <v>TEC INDUSTRIAL ESPECIALIZADO</v>
      </c>
      <c r="D543" s="5">
        <v>200</v>
      </c>
      <c r="E543" s="4" t="str">
        <f t="shared" si="46"/>
        <v>Funcionário</v>
      </c>
    </row>
    <row r="544" spans="1:5">
      <c r="A544" s="4" t="str">
        <f t="shared" si="45"/>
        <v>2</v>
      </c>
      <c r="B544" s="4" t="str">
        <f>"ERIKA MARQUES DE OLIVEIRA"</f>
        <v>ERIKA MARQUES DE OLIVEIRA</v>
      </c>
      <c r="C544" s="4" t="str">
        <f>"AUX TECNICO ADMINISTRATIVO"</f>
        <v>AUX TECNICO ADMINISTRATIVO</v>
      </c>
      <c r="D544" s="5">
        <v>200</v>
      </c>
      <c r="E544" s="4" t="str">
        <f t="shared" si="46"/>
        <v>Funcionário</v>
      </c>
    </row>
    <row r="545" spans="1:5">
      <c r="A545" s="4" t="str">
        <f t="shared" si="45"/>
        <v>2</v>
      </c>
      <c r="B545" s="4" t="str">
        <f>"ERIKS EDUARDO SOARES"</f>
        <v>ERIKS EDUARDO SOARES</v>
      </c>
      <c r="C545" s="4" t="str">
        <f>"TECNICO ENFERMAGEM DO TRABALHO"</f>
        <v>TECNICO ENFERMAGEM DO TRABALHO</v>
      </c>
      <c r="D545" s="5">
        <v>200</v>
      </c>
      <c r="E545" s="4" t="str">
        <f t="shared" si="46"/>
        <v>Funcionário</v>
      </c>
    </row>
    <row r="546" spans="1:5">
      <c r="A546" s="4" t="str">
        <f t="shared" si="45"/>
        <v>2</v>
      </c>
      <c r="B546" s="4" t="str">
        <f>"EVANDRO DE PAULA"</f>
        <v>EVANDRO DE PAULA</v>
      </c>
      <c r="C546" s="4" t="str">
        <f>"MOTORISTA DE CAMINHÃO ROTAS REGIONAI"</f>
        <v>MOTORISTA DE CAMINHÃO ROTAS REGIONAI</v>
      </c>
      <c r="D546" s="5">
        <v>206</v>
      </c>
      <c r="E546" s="4" t="str">
        <f t="shared" si="46"/>
        <v>Funcionário</v>
      </c>
    </row>
    <row r="547" spans="1:5">
      <c r="A547" s="4" t="str">
        <f t="shared" si="45"/>
        <v>2</v>
      </c>
      <c r="B547" s="4" t="str">
        <f>"EVANDRO FERNANDES PINTO"</f>
        <v>EVANDRO FERNANDES PINTO</v>
      </c>
      <c r="C547" s="4" t="str">
        <f>"TEC INDUSTRIAL ESPECIALIZADO"</f>
        <v>TEC INDUSTRIAL ESPECIALIZADO</v>
      </c>
      <c r="D547" s="5">
        <v>200</v>
      </c>
      <c r="E547" s="4" t="str">
        <f t="shared" si="46"/>
        <v>Funcionário</v>
      </c>
    </row>
    <row r="548" spans="1:5">
      <c r="A548" s="4" t="str">
        <f t="shared" si="45"/>
        <v>2</v>
      </c>
      <c r="B548" s="4" t="str">
        <f>"EZEQUIEL WEBER LUCIO SILVA FERNANDO"</f>
        <v>EZEQUIEL WEBER LUCIO SILVA FERNANDO</v>
      </c>
      <c r="C548" s="4" t="str">
        <f>"OFICIAL DE PRODUCAO INDUSTRIAL"</f>
        <v>OFICIAL DE PRODUCAO INDUSTRIAL</v>
      </c>
      <c r="D548" s="5">
        <v>200</v>
      </c>
      <c r="E548" s="4" t="str">
        <f t="shared" si="46"/>
        <v>Funcionário</v>
      </c>
    </row>
    <row r="549" spans="1:5">
      <c r="A549" s="4" t="str">
        <f t="shared" si="45"/>
        <v>2</v>
      </c>
      <c r="B549" s="4" t="str">
        <f>"FABIO BARBOSA"</f>
        <v>FABIO BARBOSA</v>
      </c>
      <c r="C549" s="4" t="str">
        <f>"OFICIAL DE PRODUCAO INDUSTRIAL"</f>
        <v>OFICIAL DE PRODUCAO INDUSTRIAL</v>
      </c>
      <c r="D549" s="5">
        <v>200</v>
      </c>
      <c r="E549" s="4" t="str">
        <f t="shared" si="46"/>
        <v>Funcionário</v>
      </c>
    </row>
    <row r="550" spans="1:5">
      <c r="A550" s="4" t="str">
        <f t="shared" si="45"/>
        <v>2</v>
      </c>
      <c r="B550" s="4" t="str">
        <f>"FÁBIO LUIZ SILVA LOPES"</f>
        <v>FÁBIO LUIZ SILVA LOPES</v>
      </c>
      <c r="C550" s="4" t="str">
        <f>"MOTORISTA DE CAMINHÃO ROTAS REGIONAI"</f>
        <v>MOTORISTA DE CAMINHÃO ROTAS REGIONAI</v>
      </c>
      <c r="D550" s="5">
        <v>206</v>
      </c>
      <c r="E550" s="4" t="str">
        <f t="shared" si="46"/>
        <v>Funcionário</v>
      </c>
    </row>
    <row r="551" spans="1:5">
      <c r="A551" s="4" t="str">
        <f t="shared" si="45"/>
        <v>2</v>
      </c>
      <c r="B551" s="4" t="str">
        <f>"FARLEY FREITAS ALMEIDA"</f>
        <v>FARLEY FREITAS ALMEIDA</v>
      </c>
      <c r="C551" s="4" t="str">
        <f>"ENGENHEIRO"</f>
        <v>ENGENHEIRO</v>
      </c>
      <c r="D551" s="5">
        <v>200</v>
      </c>
      <c r="E551" s="4" t="str">
        <f t="shared" si="46"/>
        <v>Funcionário</v>
      </c>
    </row>
    <row r="552" spans="1:5">
      <c r="A552" s="4" t="str">
        <f t="shared" si="45"/>
        <v>2</v>
      </c>
      <c r="B552" s="4" t="str">
        <f>"FELIPE AUGUSTO PEREIRA"</f>
        <v>FELIPE AUGUSTO PEREIRA</v>
      </c>
      <c r="C552" s="4" t="str">
        <f>"OFICIAL DE PRODUCAO INDUSTRIAL"</f>
        <v>OFICIAL DE PRODUCAO INDUSTRIAL</v>
      </c>
      <c r="D552" s="5">
        <v>200</v>
      </c>
      <c r="E552" s="4" t="str">
        <f t="shared" si="46"/>
        <v>Funcionário</v>
      </c>
    </row>
    <row r="553" spans="1:5">
      <c r="A553" s="4" t="str">
        <f t="shared" si="45"/>
        <v>2</v>
      </c>
      <c r="B553" s="4" t="str">
        <f>"FELIPE EMANUEL GONCALVES COSTA"</f>
        <v>FELIPE EMANUEL GONCALVES COSTA</v>
      </c>
      <c r="C553" s="4" t="str">
        <f>"TEC INDUSTRIAL ESPECIALIZADO"</f>
        <v>TEC INDUSTRIAL ESPECIALIZADO</v>
      </c>
      <c r="D553" s="5">
        <v>200</v>
      </c>
      <c r="E553" s="4" t="str">
        <f t="shared" si="46"/>
        <v>Funcionário</v>
      </c>
    </row>
    <row r="554" spans="1:5">
      <c r="A554" s="4" t="str">
        <f t="shared" si="45"/>
        <v>2</v>
      </c>
      <c r="B554" s="4" t="str">
        <f>"FELIPE FERREIRA NUNES"</f>
        <v>FELIPE FERREIRA NUNES</v>
      </c>
      <c r="C554" s="4" t="str">
        <f>"TEC INDUSTRIAL ESPECIALIZADO"</f>
        <v>TEC INDUSTRIAL ESPECIALIZADO</v>
      </c>
      <c r="D554" s="5">
        <v>200</v>
      </c>
      <c r="E554" s="4" t="str">
        <f t="shared" si="46"/>
        <v>Funcionário</v>
      </c>
    </row>
    <row r="555" spans="1:5">
      <c r="A555" s="4" t="str">
        <f t="shared" si="45"/>
        <v>2</v>
      </c>
      <c r="B555" s="4" t="str">
        <f>"FELLIPE FRANÇA COSTA"</f>
        <v>FELLIPE FRANÇA COSTA</v>
      </c>
      <c r="C555" s="4" t="str">
        <f>"TEC INDUSTRIAL ESPECIALIZADO"</f>
        <v>TEC INDUSTRIAL ESPECIALIZADO</v>
      </c>
      <c r="D555" s="5">
        <v>200</v>
      </c>
      <c r="E555" s="4" t="str">
        <f t="shared" si="46"/>
        <v>Funcionário</v>
      </c>
    </row>
    <row r="556" spans="1:5">
      <c r="A556" s="4" t="str">
        <f t="shared" si="45"/>
        <v>2</v>
      </c>
      <c r="B556" s="4" t="str">
        <f>"FERNANDA CEZAR MOREIRA"</f>
        <v>FERNANDA CEZAR MOREIRA</v>
      </c>
      <c r="C556" s="4" t="str">
        <f>"OFICIAL DE PRODUCAO INDUSTRIAL"</f>
        <v>OFICIAL DE PRODUCAO INDUSTRIAL</v>
      </c>
      <c r="D556" s="5">
        <v>200</v>
      </c>
      <c r="E556" s="4" t="str">
        <f t="shared" si="46"/>
        <v>Funcionário</v>
      </c>
    </row>
    <row r="557" spans="1:5">
      <c r="A557" s="4" t="str">
        <f t="shared" si="45"/>
        <v>2</v>
      </c>
      <c r="B557" s="4" t="str">
        <f>"FERNANDO ANTONIO BATISTA DE FARIA"</f>
        <v>FERNANDO ANTONIO BATISTA DE FARIA</v>
      </c>
      <c r="C557" s="4" t="str">
        <f>"ANALISTA ESPECIALIZADO"</f>
        <v>ANALISTA ESPECIALIZADO</v>
      </c>
      <c r="D557" s="5">
        <v>200</v>
      </c>
      <c r="E557" s="4" t="str">
        <f t="shared" si="46"/>
        <v>Funcionário</v>
      </c>
    </row>
    <row r="558" spans="1:5">
      <c r="A558" s="4" t="str">
        <f t="shared" si="45"/>
        <v>2</v>
      </c>
      <c r="B558" s="4" t="str">
        <f>"FERNANDO MENDES NOGUEIRA"</f>
        <v>FERNANDO MENDES NOGUEIRA</v>
      </c>
      <c r="C558" s="4" t="str">
        <f>"OFICIAL DE PRODUCAO INDUSTRIAL"</f>
        <v>OFICIAL DE PRODUCAO INDUSTRIAL</v>
      </c>
      <c r="D558" s="5">
        <v>200</v>
      </c>
      <c r="E558" s="4" t="str">
        <f t="shared" si="46"/>
        <v>Funcionário</v>
      </c>
    </row>
    <row r="559" spans="1:5">
      <c r="A559" s="4" t="str">
        <f t="shared" si="45"/>
        <v>2</v>
      </c>
      <c r="B559" s="4" t="str">
        <f>"FERNANDO MONTEIRO DOS SANTOS"</f>
        <v>FERNANDO MONTEIRO DOS SANTOS</v>
      </c>
      <c r="C559" s="4" t="str">
        <f>"TECNICO ADM ESPECIALIZADO"</f>
        <v>TECNICO ADM ESPECIALIZADO</v>
      </c>
      <c r="D559" s="5">
        <v>200</v>
      </c>
      <c r="E559" s="4" t="str">
        <f t="shared" si="46"/>
        <v>Funcionário</v>
      </c>
    </row>
    <row r="560" spans="1:5">
      <c r="A560" s="4" t="str">
        <f t="shared" si="45"/>
        <v>2</v>
      </c>
      <c r="B560" s="4" t="str">
        <f>"FERNANDO SEBASTIAO DE PAULO"</f>
        <v>FERNANDO SEBASTIAO DE PAULO</v>
      </c>
      <c r="C560" s="4" t="str">
        <f>"TEC INDUSTRIAL ESPECIALIZADO"</f>
        <v>TEC INDUSTRIAL ESPECIALIZADO</v>
      </c>
      <c r="D560" s="5">
        <v>200</v>
      </c>
      <c r="E560" s="4" t="str">
        <f>"Aposentado"</f>
        <v>Aposentado</v>
      </c>
    </row>
    <row r="561" spans="1:5">
      <c r="A561" s="4" t="str">
        <f t="shared" si="45"/>
        <v>2</v>
      </c>
      <c r="B561" s="4" t="str">
        <f>"FILIPE DA SILVA"</f>
        <v>FILIPE DA SILVA</v>
      </c>
      <c r="C561" s="4" t="str">
        <f>"OFICIAL DE PRODUCAO INDUSTRIAL"</f>
        <v>OFICIAL DE PRODUCAO INDUSTRIAL</v>
      </c>
      <c r="D561" s="5">
        <v>200</v>
      </c>
      <c r="E561" s="4" t="str">
        <f>"Funcionário"</f>
        <v>Funcionário</v>
      </c>
    </row>
    <row r="562" spans="1:5">
      <c r="A562" s="4" t="str">
        <f t="shared" si="45"/>
        <v>2</v>
      </c>
      <c r="B562" s="4" t="str">
        <f>"FLÁVIA APARECIDA GOMES"</f>
        <v>FLÁVIA APARECIDA GOMES</v>
      </c>
      <c r="C562" s="4" t="str">
        <f>"ANALISTA ESPECIALIZADO"</f>
        <v>ANALISTA ESPECIALIZADO</v>
      </c>
      <c r="D562" s="5">
        <v>200</v>
      </c>
      <c r="E562" s="4" t="str">
        <f>"Funcionário"</f>
        <v>Funcionário</v>
      </c>
    </row>
    <row r="563" spans="1:5">
      <c r="A563" s="4" t="str">
        <f t="shared" si="45"/>
        <v>2</v>
      </c>
      <c r="B563" s="4" t="str">
        <f>"FLAVIO CAMPOS DOS SANTOS"</f>
        <v>FLAVIO CAMPOS DOS SANTOS</v>
      </c>
      <c r="C563" s="4" t="str">
        <f>"TECNICO SEGURANÇA DO TRABALHO"</f>
        <v>TECNICO SEGURANÇA DO TRABALHO</v>
      </c>
      <c r="D563" s="5">
        <v>200</v>
      </c>
      <c r="E563" s="4" t="str">
        <f>"Funcionário"</f>
        <v>Funcionário</v>
      </c>
    </row>
    <row r="564" spans="1:5">
      <c r="A564" s="4" t="str">
        <f t="shared" si="45"/>
        <v>2</v>
      </c>
      <c r="B564" s="4" t="str">
        <f>"FLAVIO DE PINHO RAMOS"</f>
        <v>FLAVIO DE PINHO RAMOS</v>
      </c>
      <c r="C564" s="4" t="str">
        <f>"OFICIAL DE PRODUCAO INDUSTRIAL"</f>
        <v>OFICIAL DE PRODUCAO INDUSTRIAL</v>
      </c>
      <c r="D564" s="5">
        <v>200</v>
      </c>
      <c r="E564" s="4" t="str">
        <f>"Funcionário"</f>
        <v>Funcionário</v>
      </c>
    </row>
    <row r="565" spans="1:5">
      <c r="A565" s="4" t="str">
        <f t="shared" si="45"/>
        <v>2</v>
      </c>
      <c r="B565" s="4" t="str">
        <f>"FLAVIO LUCIANO GUALTER DOS SANTOS"</f>
        <v>FLAVIO LUCIANO GUALTER DOS SANTOS</v>
      </c>
      <c r="C565" s="4" t="str">
        <f>"OFICIAL DE PRODUCAO INDUSTRIAL"</f>
        <v>OFICIAL DE PRODUCAO INDUSTRIAL</v>
      </c>
      <c r="D565" s="5">
        <v>200</v>
      </c>
      <c r="E565" s="4" t="str">
        <f>"Funcionário"</f>
        <v>Funcionário</v>
      </c>
    </row>
    <row r="566" spans="1:5">
      <c r="A566" s="4" t="str">
        <f t="shared" si="45"/>
        <v>2</v>
      </c>
      <c r="B566" s="4" t="str">
        <f>"FRANCISCO CARLOS DAMACENO"</f>
        <v>FRANCISCO CARLOS DAMACENO</v>
      </c>
      <c r="C566" s="4" t="str">
        <f>"OFICIAL DE PRODUCAO INDUSTRIAL"</f>
        <v>OFICIAL DE PRODUCAO INDUSTRIAL</v>
      </c>
      <c r="D566" s="5">
        <v>200</v>
      </c>
      <c r="E566" s="4" t="str">
        <f>"Aposentado"</f>
        <v>Aposentado</v>
      </c>
    </row>
    <row r="567" spans="1:5">
      <c r="A567" s="4" t="str">
        <f t="shared" si="45"/>
        <v>2</v>
      </c>
      <c r="B567" s="4" t="str">
        <f>"FRANCISCO DOS S GAMA DE ARAUJO JUNIOR"</f>
        <v>FRANCISCO DOS S GAMA DE ARAUJO JUNIOR</v>
      </c>
      <c r="C567" s="4" t="str">
        <f>"MILITAR DA ATIVA"</f>
        <v>MILITAR DA ATIVA</v>
      </c>
      <c r="D567" s="5">
        <v>205</v>
      </c>
      <c r="E567" s="4" t="str">
        <f t="shared" ref="E567:E572" si="47">"Funcionário"</f>
        <v>Funcionário</v>
      </c>
    </row>
    <row r="568" spans="1:5">
      <c r="A568" s="4" t="str">
        <f t="shared" si="45"/>
        <v>2</v>
      </c>
      <c r="B568" s="4" t="str">
        <f>"FREDERICO PERILLI DE TOLEDO"</f>
        <v>FREDERICO PERILLI DE TOLEDO</v>
      </c>
      <c r="C568" s="4" t="str">
        <f>"TEC INDUSTRIAL ESPECIALIZADO"</f>
        <v>TEC INDUSTRIAL ESPECIALIZADO</v>
      </c>
      <c r="D568" s="5">
        <v>200</v>
      </c>
      <c r="E568" s="4" t="str">
        <f t="shared" si="47"/>
        <v>Funcionário</v>
      </c>
    </row>
    <row r="569" spans="1:5">
      <c r="A569" s="4" t="str">
        <f t="shared" si="45"/>
        <v>2</v>
      </c>
      <c r="B569" s="4" t="str">
        <f>"FULVIO ARON GOES SILVA"</f>
        <v>FULVIO ARON GOES SILVA</v>
      </c>
      <c r="C569" s="4" t="str">
        <f>"ENGENHEIRO"</f>
        <v>ENGENHEIRO</v>
      </c>
      <c r="D569" s="5">
        <v>200</v>
      </c>
      <c r="E569" s="4" t="str">
        <f t="shared" si="47"/>
        <v>Funcionário</v>
      </c>
    </row>
    <row r="570" spans="1:5">
      <c r="A570" s="4" t="str">
        <f t="shared" si="45"/>
        <v>2</v>
      </c>
      <c r="B570" s="4" t="str">
        <f>"GABRIEL JOSÉ MORAIS DE PAULA"</f>
        <v>GABRIEL JOSÉ MORAIS DE PAULA</v>
      </c>
      <c r="C570" s="4" t="str">
        <f>"TEC INDUSTRIAL ESPECIALIZADO"</f>
        <v>TEC INDUSTRIAL ESPECIALIZADO</v>
      </c>
      <c r="D570" s="5">
        <v>200</v>
      </c>
      <c r="E570" s="4" t="str">
        <f t="shared" si="47"/>
        <v>Funcionário</v>
      </c>
    </row>
    <row r="571" spans="1:5">
      <c r="A571" s="4" t="str">
        <f t="shared" si="45"/>
        <v>2</v>
      </c>
      <c r="B571" s="4" t="str">
        <f>"GABRIELLA VASCONCELOS MARQUES DE SOUSA"</f>
        <v>GABRIELLA VASCONCELOS MARQUES DE SOUSA</v>
      </c>
      <c r="C571" s="4" t="str">
        <f>"TECNICO ADM ESPECIALIZADO"</f>
        <v>TECNICO ADM ESPECIALIZADO</v>
      </c>
      <c r="D571" s="5">
        <v>200</v>
      </c>
      <c r="E571" s="4" t="str">
        <f t="shared" si="47"/>
        <v>Funcionário</v>
      </c>
    </row>
    <row r="572" spans="1:5">
      <c r="A572" s="4" t="str">
        <f t="shared" si="45"/>
        <v>2</v>
      </c>
      <c r="B572" s="4" t="str">
        <f>"GEAN BARROS CASTRO"</f>
        <v>GEAN BARROS CASTRO</v>
      </c>
      <c r="C572" s="4" t="str">
        <f>"OFICIAL DE PRODUCAO INDUSTRIAL"</f>
        <v>OFICIAL DE PRODUCAO INDUSTRIAL</v>
      </c>
      <c r="D572" s="5">
        <v>200</v>
      </c>
      <c r="E572" s="4" t="str">
        <f t="shared" si="47"/>
        <v>Funcionário</v>
      </c>
    </row>
    <row r="573" spans="1:5">
      <c r="A573" s="4" t="str">
        <f t="shared" si="45"/>
        <v>2</v>
      </c>
      <c r="B573" s="4" t="str">
        <f>"GENECY DE SOUZA FILHO"</f>
        <v>GENECY DE SOUZA FILHO</v>
      </c>
      <c r="C573" s="4" t="str">
        <f>"AUXILIAR TECNICO INDUSTRIAL"</f>
        <v>AUXILIAR TECNICO INDUSTRIAL</v>
      </c>
      <c r="D573" s="5">
        <v>200</v>
      </c>
      <c r="E573" s="4" t="str">
        <f>"Aposentado"</f>
        <v>Aposentado</v>
      </c>
    </row>
    <row r="574" spans="1:5">
      <c r="A574" s="4" t="str">
        <f t="shared" si="45"/>
        <v>2</v>
      </c>
      <c r="B574" s="4" t="str">
        <f>"GEORGE GARCIA DA SILVA"</f>
        <v>GEORGE GARCIA DA SILVA</v>
      </c>
      <c r="C574" s="4" t="str">
        <f>"OFICIAL DE PRODUCAO INDUSTRIAL"</f>
        <v>OFICIAL DE PRODUCAO INDUSTRIAL</v>
      </c>
      <c r="D574" s="5">
        <v>200</v>
      </c>
      <c r="E574" s="4" t="str">
        <f>"Funcionário"</f>
        <v>Funcionário</v>
      </c>
    </row>
    <row r="575" spans="1:5">
      <c r="A575" s="4" t="str">
        <f t="shared" si="45"/>
        <v>2</v>
      </c>
      <c r="B575" s="4" t="str">
        <f>"GILBERTO ALBINO DE FARIA"</f>
        <v>GILBERTO ALBINO DE FARIA</v>
      </c>
      <c r="C575" s="4" t="str">
        <f>"AUX TECNICO ADMINISTRATIVO"</f>
        <v>AUX TECNICO ADMINISTRATIVO</v>
      </c>
      <c r="D575" s="5">
        <v>200</v>
      </c>
      <c r="E575" s="4" t="str">
        <f>"Funcionário"</f>
        <v>Funcionário</v>
      </c>
    </row>
    <row r="576" spans="1:5">
      <c r="A576" s="4" t="str">
        <f t="shared" si="45"/>
        <v>2</v>
      </c>
      <c r="B576" s="4" t="str">
        <f>"GILBERTO ALVES"</f>
        <v>GILBERTO ALVES</v>
      </c>
      <c r="C576" s="4" t="str">
        <f>"TEC INDUSTRIAL ESPECIALIZADO"</f>
        <v>TEC INDUSTRIAL ESPECIALIZADO</v>
      </c>
      <c r="D576" s="5">
        <v>200</v>
      </c>
      <c r="E576" s="4" t="str">
        <f>"Aposentado"</f>
        <v>Aposentado</v>
      </c>
    </row>
    <row r="577" spans="1:5">
      <c r="A577" s="4" t="str">
        <f t="shared" si="45"/>
        <v>2</v>
      </c>
      <c r="B577" s="4" t="str">
        <f>"GILDA LUTIELE SOUZA NUNES"</f>
        <v>GILDA LUTIELE SOUZA NUNES</v>
      </c>
      <c r="C577" s="4" t="str">
        <f>"ESPECIALISTA"</f>
        <v>ESPECIALISTA</v>
      </c>
      <c r="D577" s="5">
        <v>200</v>
      </c>
      <c r="E577" s="4" t="str">
        <f t="shared" ref="E577:E587" si="48">"Funcionário"</f>
        <v>Funcionário</v>
      </c>
    </row>
    <row r="578" spans="1:5">
      <c r="A578" s="4" t="str">
        <f t="shared" si="45"/>
        <v>2</v>
      </c>
      <c r="B578" s="4" t="str">
        <f>"GILMAR ALVES DE SOUZA"</f>
        <v>GILMAR ALVES DE SOUZA</v>
      </c>
      <c r="C578" s="4" t="str">
        <f>"OFICIAL DE PRODUCAO INDUSTRIAL"</f>
        <v>OFICIAL DE PRODUCAO INDUSTRIAL</v>
      </c>
      <c r="D578" s="5">
        <v>200</v>
      </c>
      <c r="E578" s="4" t="str">
        <f t="shared" si="48"/>
        <v>Funcionário</v>
      </c>
    </row>
    <row r="579" spans="1:5">
      <c r="A579" s="4" t="str">
        <f t="shared" si="45"/>
        <v>2</v>
      </c>
      <c r="B579" s="4" t="str">
        <f>"GLEIZE HELENA DA SILVA"</f>
        <v>GLEIZE HELENA DA SILVA</v>
      </c>
      <c r="C579" s="4" t="str">
        <f>"OFICIAL DE PRODUCAO INDUSTRIAL"</f>
        <v>OFICIAL DE PRODUCAO INDUSTRIAL</v>
      </c>
      <c r="D579" s="5">
        <v>200</v>
      </c>
      <c r="E579" s="4" t="str">
        <f t="shared" si="48"/>
        <v>Funcionário</v>
      </c>
    </row>
    <row r="580" spans="1:5">
      <c r="A580" s="4" t="str">
        <f t="shared" si="45"/>
        <v>2</v>
      </c>
      <c r="B580" s="4" t="str">
        <f>"GUILHERME GOMES DE ALMEIDA"</f>
        <v>GUILHERME GOMES DE ALMEIDA</v>
      </c>
      <c r="C580" s="4" t="str">
        <f>"AUX TECNICO ADMINISTRATIVO"</f>
        <v>AUX TECNICO ADMINISTRATIVO</v>
      </c>
      <c r="D580" s="5">
        <v>200</v>
      </c>
      <c r="E580" s="4" t="str">
        <f t="shared" si="48"/>
        <v>Funcionário</v>
      </c>
    </row>
    <row r="581" spans="1:5">
      <c r="A581" s="4" t="str">
        <f t="shared" si="45"/>
        <v>2</v>
      </c>
      <c r="B581" s="4" t="str">
        <f>"GUILHERME PÓVOA BRANDÃO TEIXEIRA"</f>
        <v>GUILHERME PÓVOA BRANDÃO TEIXEIRA</v>
      </c>
      <c r="C581" s="4" t="str">
        <f>"ENGENHEIRO"</f>
        <v>ENGENHEIRO</v>
      </c>
      <c r="D581" s="5">
        <v>200</v>
      </c>
      <c r="E581" s="4" t="str">
        <f t="shared" si="48"/>
        <v>Funcionário</v>
      </c>
    </row>
    <row r="582" spans="1:5">
      <c r="A582" s="4" t="str">
        <f t="shared" si="45"/>
        <v>2</v>
      </c>
      <c r="B582" s="4" t="str">
        <f>"GUSTAVO BELARMINO DOS SANTOS"</f>
        <v>GUSTAVO BELARMINO DOS SANTOS</v>
      </c>
      <c r="C582" s="4" t="str">
        <f>"TEC INDUSTRIAL ESPECIALIZADO"</f>
        <v>TEC INDUSTRIAL ESPECIALIZADO</v>
      </c>
      <c r="D582" s="5">
        <v>200</v>
      </c>
      <c r="E582" s="4" t="str">
        <f t="shared" si="48"/>
        <v>Funcionário</v>
      </c>
    </row>
    <row r="583" spans="1:5">
      <c r="A583" s="4" t="str">
        <f t="shared" si="45"/>
        <v>2</v>
      </c>
      <c r="B583" s="4" t="str">
        <f>"GUSTAVO FERREIRA FELIZARDO"</f>
        <v>GUSTAVO FERREIRA FELIZARDO</v>
      </c>
      <c r="C583" s="4" t="str">
        <f>"TECNICO ADM ESPECIALIZADO"</f>
        <v>TECNICO ADM ESPECIALIZADO</v>
      </c>
      <c r="D583" s="5">
        <v>200</v>
      </c>
      <c r="E583" s="4" t="str">
        <f t="shared" si="48"/>
        <v>Funcionário</v>
      </c>
    </row>
    <row r="584" spans="1:5">
      <c r="A584" s="4" t="str">
        <f t="shared" si="45"/>
        <v>2</v>
      </c>
      <c r="B584" s="4" t="str">
        <f>"GUSTAVO MOISÉS MENDES ESCOBAR"</f>
        <v>GUSTAVO MOISÉS MENDES ESCOBAR</v>
      </c>
      <c r="C584" s="4" t="str">
        <f>"AUX TECNICO ADMINISTRATIVO"</f>
        <v>AUX TECNICO ADMINISTRATIVO</v>
      </c>
      <c r="D584" s="5">
        <v>200</v>
      </c>
      <c r="E584" s="4" t="str">
        <f t="shared" si="48"/>
        <v>Funcionário</v>
      </c>
    </row>
    <row r="585" spans="1:5">
      <c r="A585" s="4" t="str">
        <f t="shared" si="45"/>
        <v>2</v>
      </c>
      <c r="B585" s="4" t="str">
        <f>"GUSTAVO SOUZA BERNARDINO"</f>
        <v>GUSTAVO SOUZA BERNARDINO</v>
      </c>
      <c r="C585" s="4" t="str">
        <f>"OFICIAL DE PRODUCAO INDUSTRIAL"</f>
        <v>OFICIAL DE PRODUCAO INDUSTRIAL</v>
      </c>
      <c r="D585" s="5">
        <v>200</v>
      </c>
      <c r="E585" s="4" t="str">
        <f t="shared" si="48"/>
        <v>Funcionário</v>
      </c>
    </row>
    <row r="586" spans="1:5">
      <c r="A586" s="4" t="str">
        <f t="shared" si="45"/>
        <v>2</v>
      </c>
      <c r="B586" s="4" t="str">
        <f>"HELTON RIBEIRO DIAS"</f>
        <v>HELTON RIBEIRO DIAS</v>
      </c>
      <c r="C586" s="4" t="str">
        <f>"TEC INDUSTRIAL ESPECIALIZADO"</f>
        <v>TEC INDUSTRIAL ESPECIALIZADO</v>
      </c>
      <c r="D586" s="5">
        <v>200</v>
      </c>
      <c r="E586" s="4" t="str">
        <f t="shared" si="48"/>
        <v>Funcionário</v>
      </c>
    </row>
    <row r="587" spans="1:5">
      <c r="A587" s="4" t="str">
        <f t="shared" si="45"/>
        <v>2</v>
      </c>
      <c r="B587" s="4" t="str">
        <f>"HENRIQUE PEREIRA DUARTE"</f>
        <v>HENRIQUE PEREIRA DUARTE</v>
      </c>
      <c r="C587" s="4" t="str">
        <f>"OFICIAL DE PRODUCAO INDUSTRIAL"</f>
        <v>OFICIAL DE PRODUCAO INDUSTRIAL</v>
      </c>
      <c r="D587" s="5">
        <v>200</v>
      </c>
      <c r="E587" s="4" t="str">
        <f t="shared" si="48"/>
        <v>Funcionário</v>
      </c>
    </row>
    <row r="588" spans="1:5">
      <c r="A588" s="4" t="str">
        <f t="shared" si="45"/>
        <v>2</v>
      </c>
      <c r="B588" s="4" t="str">
        <f>"HERIK FLAVIO MARTINS DOMINGOS"</f>
        <v>HERIK FLAVIO MARTINS DOMINGOS</v>
      </c>
      <c r="C588" s="4" t="str">
        <f>"APRENDIZ- PRODUÇÃO"</f>
        <v>APRENDIZ- PRODUÇÃO</v>
      </c>
      <c r="D588" s="5">
        <v>36</v>
      </c>
      <c r="E588" s="4" t="str">
        <f>"Aprendiz"</f>
        <v>Aprendiz</v>
      </c>
    </row>
    <row r="589" spans="1:5">
      <c r="A589" s="4" t="str">
        <f t="shared" si="45"/>
        <v>2</v>
      </c>
      <c r="B589" s="4" t="str">
        <f>"HONESTA FERREIRA DA SILVA"</f>
        <v>HONESTA FERREIRA DA SILVA</v>
      </c>
      <c r="C589" s="4" t="str">
        <f>"AUX TECNICO ADMINISTRATIVO"</f>
        <v>AUX TECNICO ADMINISTRATIVO</v>
      </c>
      <c r="D589" s="5">
        <v>200</v>
      </c>
      <c r="E589" s="4" t="str">
        <f t="shared" ref="E589:E597" si="49">"Funcionário"</f>
        <v>Funcionário</v>
      </c>
    </row>
    <row r="590" spans="1:5">
      <c r="A590" s="4" t="str">
        <f t="shared" si="45"/>
        <v>2</v>
      </c>
      <c r="B590" s="4" t="str">
        <f>"HUGO ZANUTI CABRAL"</f>
        <v>HUGO ZANUTI CABRAL</v>
      </c>
      <c r="C590" s="4" t="str">
        <f>"MILITAR DA ATIVA"</f>
        <v>MILITAR DA ATIVA</v>
      </c>
      <c r="D590" s="5">
        <v>205</v>
      </c>
      <c r="E590" s="4" t="str">
        <f t="shared" si="49"/>
        <v>Funcionário</v>
      </c>
    </row>
    <row r="591" spans="1:5">
      <c r="A591" s="4" t="str">
        <f t="shared" si="45"/>
        <v>2</v>
      </c>
      <c r="B591" s="4" t="str">
        <f>"IAGO HENAUT COSTA LIMA"</f>
        <v>IAGO HENAUT COSTA LIMA</v>
      </c>
      <c r="C591" s="4" t="str">
        <f>"TEC INDUSTRIAL ESPECIALIZADO"</f>
        <v>TEC INDUSTRIAL ESPECIALIZADO</v>
      </c>
      <c r="D591" s="5">
        <v>200</v>
      </c>
      <c r="E591" s="4" t="str">
        <f t="shared" si="49"/>
        <v>Funcionário</v>
      </c>
    </row>
    <row r="592" spans="1:5">
      <c r="A592" s="4" t="str">
        <f t="shared" si="45"/>
        <v>2</v>
      </c>
      <c r="B592" s="4" t="str">
        <f>"IDINO VALENTIM DE SOUZA"</f>
        <v>IDINO VALENTIM DE SOUZA</v>
      </c>
      <c r="C592" s="4" t="str">
        <f>"OFICIAL DE PRODUCAO INDUSTRIAL"</f>
        <v>OFICIAL DE PRODUCAO INDUSTRIAL</v>
      </c>
      <c r="D592" s="5">
        <v>200</v>
      </c>
      <c r="E592" s="4" t="str">
        <f t="shared" si="49"/>
        <v>Funcionário</v>
      </c>
    </row>
    <row r="593" spans="1:5">
      <c r="A593" s="4" t="str">
        <f t="shared" si="45"/>
        <v>2</v>
      </c>
      <c r="B593" s="4" t="str">
        <f>"IGOR CARDOZO AMARAL DE OLIVEIRA"</f>
        <v>IGOR CARDOZO AMARAL DE OLIVEIRA</v>
      </c>
      <c r="C593" s="4" t="str">
        <f>"MILITAR DA ATIVA"</f>
        <v>MILITAR DA ATIVA</v>
      </c>
      <c r="D593" s="5">
        <v>205</v>
      </c>
      <c r="E593" s="4" t="str">
        <f t="shared" si="49"/>
        <v>Funcionário</v>
      </c>
    </row>
    <row r="594" spans="1:5">
      <c r="A594" s="4" t="str">
        <f t="shared" si="45"/>
        <v>2</v>
      </c>
      <c r="B594" s="4" t="str">
        <f>"IGOR CARLOS RIBEIRO"</f>
        <v>IGOR CARLOS RIBEIRO</v>
      </c>
      <c r="C594" s="4" t="str">
        <f>"TEC INDUSTRIAL ESPECIALIZADO"</f>
        <v>TEC INDUSTRIAL ESPECIALIZADO</v>
      </c>
      <c r="D594" s="5">
        <v>200</v>
      </c>
      <c r="E594" s="4" t="str">
        <f t="shared" si="49"/>
        <v>Funcionário</v>
      </c>
    </row>
    <row r="595" spans="1:5">
      <c r="A595" s="4" t="str">
        <f t="shared" si="45"/>
        <v>2</v>
      </c>
      <c r="B595" s="4" t="str">
        <f>"IGOR MAZZETTI RODRIGUES VALLE"</f>
        <v>IGOR MAZZETTI RODRIGUES VALLE</v>
      </c>
      <c r="C595" s="4" t="str">
        <f>"MOTORISTA DE CAMINHÃO ROTAS REGIONAI"</f>
        <v>MOTORISTA DE CAMINHÃO ROTAS REGIONAI</v>
      </c>
      <c r="D595" s="5">
        <v>206</v>
      </c>
      <c r="E595" s="4" t="str">
        <f t="shared" si="49"/>
        <v>Funcionário</v>
      </c>
    </row>
    <row r="596" spans="1:5">
      <c r="A596" s="4" t="str">
        <f t="shared" si="45"/>
        <v>2</v>
      </c>
      <c r="B596" s="4" t="str">
        <f>"IGOR RENAN REIS CARLOS"</f>
        <v>IGOR RENAN REIS CARLOS</v>
      </c>
      <c r="C596" s="4" t="str">
        <f>"ENGENHEIRO"</f>
        <v>ENGENHEIRO</v>
      </c>
      <c r="D596" s="5">
        <v>200</v>
      </c>
      <c r="E596" s="4" t="str">
        <f t="shared" si="49"/>
        <v>Funcionário</v>
      </c>
    </row>
    <row r="597" spans="1:5">
      <c r="A597" s="4" t="str">
        <f t="shared" si="45"/>
        <v>2</v>
      </c>
      <c r="B597" s="4" t="str">
        <f>"ISA REGINA DA SILVA"</f>
        <v>ISA REGINA DA SILVA</v>
      </c>
      <c r="C597" s="4" t="str">
        <f>"OFICIAL DE PRODUCAO INDUSTRIAL"</f>
        <v>OFICIAL DE PRODUCAO INDUSTRIAL</v>
      </c>
      <c r="D597" s="5">
        <v>200</v>
      </c>
      <c r="E597" s="4" t="str">
        <f t="shared" si="49"/>
        <v>Funcionário</v>
      </c>
    </row>
    <row r="598" spans="1:5">
      <c r="A598" s="4" t="str">
        <f t="shared" si="45"/>
        <v>2</v>
      </c>
      <c r="B598" s="4" t="str">
        <f>"ISABELA VILELA ARRUDA"</f>
        <v>ISABELA VILELA ARRUDA</v>
      </c>
      <c r="C598" s="4" t="str">
        <f>"Estagiario"</f>
        <v>Estagiario</v>
      </c>
      <c r="D598" s="5">
        <v>35</v>
      </c>
      <c r="E598" s="4" t="str">
        <f>"Estagiário"</f>
        <v>Estagiário</v>
      </c>
    </row>
    <row r="599" spans="1:5">
      <c r="A599" s="4" t="str">
        <f t="shared" ref="A599:A662" si="50">"2"</f>
        <v>2</v>
      </c>
      <c r="B599" s="4" t="str">
        <f>"IURY ALVES FREIRE ABRANTES"</f>
        <v>IURY ALVES FREIRE ABRANTES</v>
      </c>
      <c r="C599" s="4" t="str">
        <f>"Estagiario"</f>
        <v>Estagiario</v>
      </c>
      <c r="D599" s="5">
        <v>35</v>
      </c>
      <c r="E599" s="4" t="str">
        <f>"Estagiário"</f>
        <v>Estagiário</v>
      </c>
    </row>
    <row r="600" spans="1:5">
      <c r="A600" s="4" t="str">
        <f t="shared" si="50"/>
        <v>2</v>
      </c>
      <c r="B600" s="4" t="str">
        <f>"IVAN JOSE DE FREITAS"</f>
        <v>IVAN JOSE DE FREITAS</v>
      </c>
      <c r="C600" s="4" t="str">
        <f>"OFICIAL DE PRODUCAO INDUSTRIAL"</f>
        <v>OFICIAL DE PRODUCAO INDUSTRIAL</v>
      </c>
      <c r="D600" s="5">
        <v>200</v>
      </c>
      <c r="E600" s="4" t="str">
        <f t="shared" ref="E600:E605" si="51">"Funcionário"</f>
        <v>Funcionário</v>
      </c>
    </row>
    <row r="601" spans="1:5">
      <c r="A601" s="4" t="str">
        <f t="shared" si="50"/>
        <v>2</v>
      </c>
      <c r="B601" s="4" t="str">
        <f>"IVAN NOGUEIRA DE SOUZA"</f>
        <v>IVAN NOGUEIRA DE SOUZA</v>
      </c>
      <c r="C601" s="4" t="str">
        <f>"AGENTE DE APOIO OPERACIONAL"</f>
        <v>AGENTE DE APOIO OPERACIONAL</v>
      </c>
      <c r="D601" s="5">
        <v>200</v>
      </c>
      <c r="E601" s="4" t="str">
        <f t="shared" si="51"/>
        <v>Funcionário</v>
      </c>
    </row>
    <row r="602" spans="1:5">
      <c r="A602" s="4" t="str">
        <f t="shared" si="50"/>
        <v>2</v>
      </c>
      <c r="B602" s="4" t="str">
        <f>"JACYARA PEREIRA SILVA DE BRITO"</f>
        <v>JACYARA PEREIRA SILVA DE BRITO</v>
      </c>
      <c r="C602" s="4" t="str">
        <f>"ANALISTA ESPECIALIZADO"</f>
        <v>ANALISTA ESPECIALIZADO</v>
      </c>
      <c r="D602" s="5">
        <v>200</v>
      </c>
      <c r="E602" s="4" t="str">
        <f t="shared" si="51"/>
        <v>Funcionário</v>
      </c>
    </row>
    <row r="603" spans="1:5">
      <c r="A603" s="4" t="str">
        <f t="shared" si="50"/>
        <v>2</v>
      </c>
      <c r="B603" s="4" t="str">
        <f>"JAIR RODRIGUES DA SILVA"</f>
        <v>JAIR RODRIGUES DA SILVA</v>
      </c>
      <c r="C603" s="4" t="str">
        <f>"OFICIAL DE PRODUCAO INDUSTRIAL"</f>
        <v>OFICIAL DE PRODUCAO INDUSTRIAL</v>
      </c>
      <c r="D603" s="5">
        <v>200</v>
      </c>
      <c r="E603" s="4" t="str">
        <f t="shared" si="51"/>
        <v>Funcionário</v>
      </c>
    </row>
    <row r="604" spans="1:5">
      <c r="A604" s="4" t="str">
        <f t="shared" si="50"/>
        <v>2</v>
      </c>
      <c r="B604" s="4" t="str">
        <f>"JAIRO AMARAL DE OLIVEIRA"</f>
        <v>JAIRO AMARAL DE OLIVEIRA</v>
      </c>
      <c r="C604" s="4" t="str">
        <f>"AUXILIAR TECNICO INDUSTRIAL"</f>
        <v>AUXILIAR TECNICO INDUSTRIAL</v>
      </c>
      <c r="D604" s="5">
        <v>200</v>
      </c>
      <c r="E604" s="4" t="str">
        <f t="shared" si="51"/>
        <v>Funcionário</v>
      </c>
    </row>
    <row r="605" spans="1:5">
      <c r="A605" s="4" t="str">
        <f t="shared" si="50"/>
        <v>2</v>
      </c>
      <c r="B605" s="4" t="str">
        <f>"JANAÍNA DE SALES ARAÚJO"</f>
        <v>JANAÍNA DE SALES ARAÚJO</v>
      </c>
      <c r="C605" s="4" t="str">
        <f>"ESPECIALISTA"</f>
        <v>ESPECIALISTA</v>
      </c>
      <c r="D605" s="5">
        <v>200</v>
      </c>
      <c r="E605" s="4" t="str">
        <f t="shared" si="51"/>
        <v>Funcionário</v>
      </c>
    </row>
    <row r="606" spans="1:5">
      <c r="A606" s="4" t="str">
        <f t="shared" si="50"/>
        <v>2</v>
      </c>
      <c r="B606" s="4" t="str">
        <f>"JOÃO GABRIEL ASSIS E SILVA"</f>
        <v>JOÃO GABRIEL ASSIS E SILVA</v>
      </c>
      <c r="C606" s="4" t="str">
        <f>"APRENDIZ- PRODUÇÃO"</f>
        <v>APRENDIZ- PRODUÇÃO</v>
      </c>
      <c r="D606" s="5">
        <v>36</v>
      </c>
      <c r="E606" s="4" t="str">
        <f>"Aprendiz"</f>
        <v>Aprendiz</v>
      </c>
    </row>
    <row r="607" spans="1:5">
      <c r="A607" s="4" t="str">
        <f t="shared" si="50"/>
        <v>2</v>
      </c>
      <c r="B607" s="4" t="str">
        <f>"JOAO GABRIEL DECARVALHO SANTANA REGINATO"</f>
        <v>JOAO GABRIEL DECARVALHO SANTANA REGINATO</v>
      </c>
      <c r="C607" s="4" t="str">
        <f>"APRENDIZ- PRODUÇÃO"</f>
        <v>APRENDIZ- PRODUÇÃO</v>
      </c>
      <c r="D607" s="5">
        <v>36</v>
      </c>
      <c r="E607" s="4" t="str">
        <f>"Aprendiz"</f>
        <v>Aprendiz</v>
      </c>
    </row>
    <row r="608" spans="1:5">
      <c r="A608" s="4" t="str">
        <f t="shared" si="50"/>
        <v>2</v>
      </c>
      <c r="B608" s="4" t="str">
        <f>"JOÃO HENRIQUE LIMA ARAUJO"</f>
        <v>JOÃO HENRIQUE LIMA ARAUJO</v>
      </c>
      <c r="C608" s="4" t="str">
        <f>"ENGENHEIRO"</f>
        <v>ENGENHEIRO</v>
      </c>
      <c r="D608" s="5">
        <v>200</v>
      </c>
      <c r="E608" s="4" t="str">
        <f>"Funcionário"</f>
        <v>Funcionário</v>
      </c>
    </row>
    <row r="609" spans="1:5">
      <c r="A609" s="4" t="str">
        <f t="shared" si="50"/>
        <v>2</v>
      </c>
      <c r="B609" s="4" t="str">
        <f>"JOAO MARCIO DE OLIVEIRA DELGADO"</f>
        <v>JOAO MARCIO DE OLIVEIRA DELGADO</v>
      </c>
      <c r="C609" s="4" t="str">
        <f>"TEC INDUSTRIAL ESPECIALIZADO"</f>
        <v>TEC INDUSTRIAL ESPECIALIZADO</v>
      </c>
      <c r="D609" s="5">
        <v>200</v>
      </c>
      <c r="E609" s="4" t="str">
        <f>"Funcionário"</f>
        <v>Funcionário</v>
      </c>
    </row>
    <row r="610" spans="1:5">
      <c r="A610" s="4" t="str">
        <f t="shared" si="50"/>
        <v>2</v>
      </c>
      <c r="B610" s="4" t="str">
        <f>"JOÃO PEDRO MARQUES SOARES"</f>
        <v>JOÃO PEDRO MARQUES SOARES</v>
      </c>
      <c r="C610" s="4" t="str">
        <f>"Estagiario"</f>
        <v>Estagiario</v>
      </c>
      <c r="D610" s="5">
        <v>35</v>
      </c>
      <c r="E610" s="4" t="str">
        <f>"Estagiário"</f>
        <v>Estagiário</v>
      </c>
    </row>
    <row r="611" spans="1:5">
      <c r="A611" s="4" t="str">
        <f t="shared" si="50"/>
        <v>2</v>
      </c>
      <c r="B611" s="4" t="str">
        <f>"JOÃO VICTOR PROENCA RODRIGUES"</f>
        <v>JOÃO VICTOR PROENCA RODRIGUES</v>
      </c>
      <c r="C611" s="4" t="str">
        <f>"TEC INDUSTRIAL ESPECIALIZADO"</f>
        <v>TEC INDUSTRIAL ESPECIALIZADO</v>
      </c>
      <c r="D611" s="5">
        <v>200</v>
      </c>
      <c r="E611" s="4" t="str">
        <f>"Funcionário"</f>
        <v>Funcionário</v>
      </c>
    </row>
    <row r="612" spans="1:5">
      <c r="A612" s="4" t="str">
        <f t="shared" si="50"/>
        <v>2</v>
      </c>
      <c r="B612" s="4" t="str">
        <f>"JOÃO VITOR NETO CARDOSO"</f>
        <v>JOÃO VITOR NETO CARDOSO</v>
      </c>
      <c r="C612" s="4" t="str">
        <f>"AUXILIAR TECNICO INDUSTRIAL"</f>
        <v>AUXILIAR TECNICO INDUSTRIAL</v>
      </c>
      <c r="D612" s="5">
        <v>200</v>
      </c>
      <c r="E612" s="4" t="str">
        <f>"Funcionário"</f>
        <v>Funcionário</v>
      </c>
    </row>
    <row r="613" spans="1:5">
      <c r="A613" s="4" t="str">
        <f t="shared" si="50"/>
        <v>2</v>
      </c>
      <c r="B613" s="4" t="str">
        <f>"JOEL TARCISIO OLIVEIRA PEREIRA"</f>
        <v>JOEL TARCISIO OLIVEIRA PEREIRA</v>
      </c>
      <c r="C613" s="4" t="str">
        <f>"OFICIAL DE PRODUCAO INDUSTRIAL"</f>
        <v>OFICIAL DE PRODUCAO INDUSTRIAL</v>
      </c>
      <c r="D613" s="5">
        <v>200</v>
      </c>
      <c r="E613" s="4" t="str">
        <f>"Funcionário"</f>
        <v>Funcionário</v>
      </c>
    </row>
    <row r="614" spans="1:5">
      <c r="A614" s="4" t="str">
        <f t="shared" si="50"/>
        <v>2</v>
      </c>
      <c r="B614" s="4" t="str">
        <f>"JONAS GOMES MORENO"</f>
        <v>JONAS GOMES MORENO</v>
      </c>
      <c r="C614" s="4" t="str">
        <f>"AUX TECNICO ADMINISTRATIVO"</f>
        <v>AUX TECNICO ADMINISTRATIVO</v>
      </c>
      <c r="D614" s="5">
        <v>200</v>
      </c>
      <c r="E614" s="4" t="str">
        <f>"Funcionário"</f>
        <v>Funcionário</v>
      </c>
    </row>
    <row r="615" spans="1:5">
      <c r="A615" s="4" t="str">
        <f t="shared" si="50"/>
        <v>2</v>
      </c>
      <c r="B615" s="4" t="str">
        <f>"JONATAS DE SOUSA MILITÃO MENDES"</f>
        <v>JONATAS DE SOUSA MILITÃO MENDES</v>
      </c>
      <c r="C615" s="4" t="str">
        <f>"APRENDIZ- PRODUÇÃO"</f>
        <v>APRENDIZ- PRODUÇÃO</v>
      </c>
      <c r="D615" s="5">
        <v>36</v>
      </c>
      <c r="E615" s="4" t="str">
        <f>"Aprendiz"</f>
        <v>Aprendiz</v>
      </c>
    </row>
    <row r="616" spans="1:5">
      <c r="A616" s="4" t="str">
        <f t="shared" si="50"/>
        <v>2</v>
      </c>
      <c r="B616" s="4" t="str">
        <f>"JONATHAN CRESPO PEREIRA"</f>
        <v>JONATHAN CRESPO PEREIRA</v>
      </c>
      <c r="C616" s="4" t="str">
        <f>"MILITAR DA ATIVA"</f>
        <v>MILITAR DA ATIVA</v>
      </c>
      <c r="D616" s="5">
        <v>205</v>
      </c>
      <c r="E616" s="4" t="str">
        <f>"Funcionário"</f>
        <v>Funcionário</v>
      </c>
    </row>
    <row r="617" spans="1:5">
      <c r="A617" s="4" t="str">
        <f t="shared" si="50"/>
        <v>2</v>
      </c>
      <c r="B617" s="4" t="str">
        <f>"JORGE LUIS JUSTO"</f>
        <v>JORGE LUIS JUSTO</v>
      </c>
      <c r="C617" s="4" t="str">
        <f>"TEC INDUSTRIAL ESPECIALIZADO"</f>
        <v>TEC INDUSTRIAL ESPECIALIZADO</v>
      </c>
      <c r="D617" s="5">
        <v>200</v>
      </c>
      <c r="E617" s="4" t="str">
        <f>"Funcionário"</f>
        <v>Funcionário</v>
      </c>
    </row>
    <row r="618" spans="1:5">
      <c r="A618" s="4" t="str">
        <f t="shared" si="50"/>
        <v>2</v>
      </c>
      <c r="B618" s="4" t="str">
        <f>"JOSE AILTON LIMA DE ASSIS"</f>
        <v>JOSE AILTON LIMA DE ASSIS</v>
      </c>
      <c r="C618" s="4" t="str">
        <f>"TEC INDUSTRIAL ESPECIALIZADO"</f>
        <v>TEC INDUSTRIAL ESPECIALIZADO</v>
      </c>
      <c r="D618" s="5">
        <v>200</v>
      </c>
      <c r="E618" s="4" t="str">
        <f>"Funcionário"</f>
        <v>Funcionário</v>
      </c>
    </row>
    <row r="619" spans="1:5">
      <c r="A619" s="4" t="str">
        <f t="shared" si="50"/>
        <v>2</v>
      </c>
      <c r="B619" s="4" t="str">
        <f>"JOSÉ ANTONIO BARBOSA"</f>
        <v>JOSÉ ANTONIO BARBOSA</v>
      </c>
      <c r="C619" s="4" t="str">
        <f>"AUX TECNICO ADMINISTRATIVO"</f>
        <v>AUX TECNICO ADMINISTRATIVO</v>
      </c>
      <c r="D619" s="5">
        <v>200</v>
      </c>
      <c r="E619" s="4" t="str">
        <f>"Funcionário"</f>
        <v>Funcionário</v>
      </c>
    </row>
    <row r="620" spans="1:5">
      <c r="A620" s="4" t="str">
        <f t="shared" si="50"/>
        <v>2</v>
      </c>
      <c r="B620" s="4" t="str">
        <f>"JOSE CARLOS LIMA PINHEIRO"</f>
        <v>JOSE CARLOS LIMA PINHEIRO</v>
      </c>
      <c r="C620" s="4" t="str">
        <f>"AUX TECNICO ADMINISTRATIVO"</f>
        <v>AUX TECNICO ADMINISTRATIVO</v>
      </c>
      <c r="D620" s="5">
        <v>200</v>
      </c>
      <c r="E620" s="4" t="str">
        <f>"Aposentado"</f>
        <v>Aposentado</v>
      </c>
    </row>
    <row r="621" spans="1:5">
      <c r="A621" s="4" t="str">
        <f t="shared" si="50"/>
        <v>2</v>
      </c>
      <c r="B621" s="4" t="str">
        <f>"JOSE CARLOS OLIVEIRA NUNES"</f>
        <v>JOSE CARLOS OLIVEIRA NUNES</v>
      </c>
      <c r="C621" s="4" t="str">
        <f>"OFICIAL DE PRODUCAO INDUSTRIAL"</f>
        <v>OFICIAL DE PRODUCAO INDUSTRIAL</v>
      </c>
      <c r="D621" s="5">
        <v>200</v>
      </c>
      <c r="E621" s="4" t="str">
        <f>"Aposentado"</f>
        <v>Aposentado</v>
      </c>
    </row>
    <row r="622" spans="1:5">
      <c r="A622" s="4" t="str">
        <f t="shared" si="50"/>
        <v>2</v>
      </c>
      <c r="B622" s="4" t="str">
        <f>"JOSE CARLOS VIANA"</f>
        <v>JOSE CARLOS VIANA</v>
      </c>
      <c r="C622" s="4" t="str">
        <f>"TEC INDUSTRIAL ESPECIALIZADO"</f>
        <v>TEC INDUSTRIAL ESPECIALIZADO</v>
      </c>
      <c r="D622" s="5">
        <v>200</v>
      </c>
      <c r="E622" s="4" t="str">
        <f>"Aposentado"</f>
        <v>Aposentado</v>
      </c>
    </row>
    <row r="623" spans="1:5">
      <c r="A623" s="4" t="str">
        <f t="shared" si="50"/>
        <v>2</v>
      </c>
      <c r="B623" s="4" t="str">
        <f>"JOSE MARIA DOS REIS"</f>
        <v>JOSE MARIA DOS REIS</v>
      </c>
      <c r="C623" s="4" t="str">
        <f>"OFICIAL DE PRODUCAO INDUSTRIAL"</f>
        <v>OFICIAL DE PRODUCAO INDUSTRIAL</v>
      </c>
      <c r="D623" s="5">
        <v>200</v>
      </c>
      <c r="E623" s="4" t="str">
        <f>"Aposentado"</f>
        <v>Aposentado</v>
      </c>
    </row>
    <row r="624" spans="1:5">
      <c r="A624" s="4" t="str">
        <f t="shared" si="50"/>
        <v>2</v>
      </c>
      <c r="B624" s="4" t="str">
        <f>"JOSÉ NILSON DE MELLO"</f>
        <v>JOSÉ NILSON DE MELLO</v>
      </c>
      <c r="C624" s="4" t="str">
        <f>"MOTORISTA DE CAMINHÃO ROTAS REGIONAI"</f>
        <v>MOTORISTA DE CAMINHÃO ROTAS REGIONAI</v>
      </c>
      <c r="D624" s="5">
        <v>206</v>
      </c>
      <c r="E624" s="4" t="str">
        <f>"Funcionário"</f>
        <v>Funcionário</v>
      </c>
    </row>
    <row r="625" spans="1:5">
      <c r="A625" s="4" t="str">
        <f t="shared" si="50"/>
        <v>2</v>
      </c>
      <c r="B625" s="4" t="str">
        <f>"JOSE ROBERTO DE OLIVEIRA"</f>
        <v>JOSE ROBERTO DE OLIVEIRA</v>
      </c>
      <c r="C625" s="4" t="str">
        <f>"AUX TECNICO ADMINISTRATIVO"</f>
        <v>AUX TECNICO ADMINISTRATIVO</v>
      </c>
      <c r="D625" s="5">
        <v>200</v>
      </c>
      <c r="E625" s="4" t="str">
        <f>"Aposentado"</f>
        <v>Aposentado</v>
      </c>
    </row>
    <row r="626" spans="1:5">
      <c r="A626" s="4" t="str">
        <f t="shared" si="50"/>
        <v>2</v>
      </c>
      <c r="B626" s="4" t="str">
        <f>"JOSE TARCISIO POLISSENI COTTA"</f>
        <v>JOSE TARCISIO POLISSENI COTTA</v>
      </c>
      <c r="C626" s="4" t="str">
        <f>"TECNICO ADM ESPECIALIZADO"</f>
        <v>TECNICO ADM ESPECIALIZADO</v>
      </c>
      <c r="D626" s="5">
        <v>200</v>
      </c>
      <c r="E626" s="4" t="str">
        <f>"Funcionário"</f>
        <v>Funcionário</v>
      </c>
    </row>
    <row r="627" spans="1:5">
      <c r="A627" s="4" t="str">
        <f t="shared" si="50"/>
        <v>2</v>
      </c>
      <c r="B627" s="4" t="str">
        <f>"JOSELENE SILVA QUEIROS BATISTA"</f>
        <v>JOSELENE SILVA QUEIROS BATISTA</v>
      </c>
      <c r="C627" s="4" t="str">
        <f>"OFICIAL DE PRODUCAO INDUSTRIAL"</f>
        <v>OFICIAL DE PRODUCAO INDUSTRIAL</v>
      </c>
      <c r="D627" s="5">
        <v>200</v>
      </c>
      <c r="E627" s="4" t="str">
        <f>"Funcionário"</f>
        <v>Funcionário</v>
      </c>
    </row>
    <row r="628" spans="1:5">
      <c r="A628" s="4" t="str">
        <f t="shared" si="50"/>
        <v>2</v>
      </c>
      <c r="B628" s="4" t="str">
        <f>"JOSEMIR BEZERRA DA SILVA"</f>
        <v>JOSEMIR BEZERRA DA SILVA</v>
      </c>
      <c r="C628" s="4" t="str">
        <f>"OFICIAL DE PRODUCAO INDUSTRIAL"</f>
        <v>OFICIAL DE PRODUCAO INDUSTRIAL</v>
      </c>
      <c r="D628" s="5">
        <v>200</v>
      </c>
      <c r="E628" s="4" t="str">
        <f>"Prazo Determinado"</f>
        <v>Prazo Determinado</v>
      </c>
    </row>
    <row r="629" spans="1:5">
      <c r="A629" s="4" t="str">
        <f t="shared" si="50"/>
        <v>2</v>
      </c>
      <c r="B629" s="4" t="str">
        <f>"JOSILENE DE PAULA SILVA"</f>
        <v>JOSILENE DE PAULA SILVA</v>
      </c>
      <c r="C629" s="4" t="str">
        <f>"AGENTE DE APOIO OPERACIONAL"</f>
        <v>AGENTE DE APOIO OPERACIONAL</v>
      </c>
      <c r="D629" s="5">
        <v>200</v>
      </c>
      <c r="E629" s="4" t="str">
        <f t="shared" ref="E629:E660" si="52">"Funcionário"</f>
        <v>Funcionário</v>
      </c>
    </row>
    <row r="630" spans="1:5">
      <c r="A630" s="4" t="str">
        <f t="shared" si="50"/>
        <v>2</v>
      </c>
      <c r="B630" s="4" t="str">
        <f>"JUANETE GONÇALVES DA SILVA"</f>
        <v>JUANETE GONÇALVES DA SILVA</v>
      </c>
      <c r="C630" s="4" t="str">
        <f>"ANALISTA ESPECIALIZADO"</f>
        <v>ANALISTA ESPECIALIZADO</v>
      </c>
      <c r="D630" s="5">
        <v>200</v>
      </c>
      <c r="E630" s="4" t="str">
        <f t="shared" si="52"/>
        <v>Funcionário</v>
      </c>
    </row>
    <row r="631" spans="1:5">
      <c r="A631" s="4" t="str">
        <f t="shared" si="50"/>
        <v>2</v>
      </c>
      <c r="B631" s="4" t="str">
        <f>"JUDE DE OLIVEIRA BENTO DA SILVA"</f>
        <v>JUDE DE OLIVEIRA BENTO DA SILVA</v>
      </c>
      <c r="C631" s="4" t="str">
        <f>"OFICIAL DE PRODUCAO INDUSTRIAL"</f>
        <v>OFICIAL DE PRODUCAO INDUSTRIAL</v>
      </c>
      <c r="D631" s="5">
        <v>200</v>
      </c>
      <c r="E631" s="4" t="str">
        <f t="shared" si="52"/>
        <v>Funcionário</v>
      </c>
    </row>
    <row r="632" spans="1:5">
      <c r="A632" s="4" t="str">
        <f t="shared" si="50"/>
        <v>2</v>
      </c>
      <c r="B632" s="4" t="str">
        <f>"JULIANA ANDRADE PAULA"</f>
        <v>JULIANA ANDRADE PAULA</v>
      </c>
      <c r="C632" s="4" t="str">
        <f>"TECNICO ADM ESPECIALIZADO"</f>
        <v>TECNICO ADM ESPECIALIZADO</v>
      </c>
      <c r="D632" s="5">
        <v>200</v>
      </c>
      <c r="E632" s="4" t="str">
        <f t="shared" si="52"/>
        <v>Funcionário</v>
      </c>
    </row>
    <row r="633" spans="1:5">
      <c r="A633" s="4" t="str">
        <f t="shared" si="50"/>
        <v>2</v>
      </c>
      <c r="B633" s="4" t="str">
        <f>"JUREMA MILANI"</f>
        <v>JUREMA MILANI</v>
      </c>
      <c r="C633" s="4" t="str">
        <f>"OFICIAL DE PRODUCAO INDUSTRIAL"</f>
        <v>OFICIAL DE PRODUCAO INDUSTRIAL</v>
      </c>
      <c r="D633" s="5">
        <v>200</v>
      </c>
      <c r="E633" s="4" t="str">
        <f t="shared" si="52"/>
        <v>Funcionário</v>
      </c>
    </row>
    <row r="634" spans="1:5">
      <c r="A634" s="4" t="str">
        <f t="shared" si="50"/>
        <v>2</v>
      </c>
      <c r="B634" s="4" t="str">
        <f>"KARINE APARECIDA GOMES DE CASTRO"</f>
        <v>KARINE APARECIDA GOMES DE CASTRO</v>
      </c>
      <c r="C634" s="4" t="str">
        <f>"TEC INDUSTRIAL ESPECIALIZADO"</f>
        <v>TEC INDUSTRIAL ESPECIALIZADO</v>
      </c>
      <c r="D634" s="5">
        <v>200</v>
      </c>
      <c r="E634" s="4" t="str">
        <f t="shared" si="52"/>
        <v>Funcionário</v>
      </c>
    </row>
    <row r="635" spans="1:5">
      <c r="A635" s="4" t="str">
        <f t="shared" si="50"/>
        <v>2</v>
      </c>
      <c r="B635" s="4" t="str">
        <f>"LAERTE ALBINO DE OLIVEIRA"</f>
        <v>LAERTE ALBINO DE OLIVEIRA</v>
      </c>
      <c r="C635" s="4" t="str">
        <f>"AUXILIAR TECNICO INDUSTRIAL"</f>
        <v>AUXILIAR TECNICO INDUSTRIAL</v>
      </c>
      <c r="D635" s="5">
        <v>200</v>
      </c>
      <c r="E635" s="4" t="str">
        <f t="shared" si="52"/>
        <v>Funcionário</v>
      </c>
    </row>
    <row r="636" spans="1:5">
      <c r="A636" s="4" t="str">
        <f t="shared" si="50"/>
        <v>2</v>
      </c>
      <c r="B636" s="4" t="str">
        <f>"LAIS MAIA VENANZONI"</f>
        <v>LAIS MAIA VENANZONI</v>
      </c>
      <c r="C636" s="4" t="str">
        <f>"TEC INDUSTRIAL ESPECIALIZADO"</f>
        <v>TEC INDUSTRIAL ESPECIALIZADO</v>
      </c>
      <c r="D636" s="5">
        <v>200</v>
      </c>
      <c r="E636" s="4" t="str">
        <f t="shared" si="52"/>
        <v>Funcionário</v>
      </c>
    </row>
    <row r="637" spans="1:5">
      <c r="A637" s="4" t="str">
        <f t="shared" si="50"/>
        <v>2</v>
      </c>
      <c r="B637" s="4" t="str">
        <f>"LAMONIER MAIA FERREIRA"</f>
        <v>LAMONIER MAIA FERREIRA</v>
      </c>
      <c r="C637" s="4" t="str">
        <f>"AGENTE DE APOIO OPERACIONAL"</f>
        <v>AGENTE DE APOIO OPERACIONAL</v>
      </c>
      <c r="D637" s="5">
        <v>200</v>
      </c>
      <c r="E637" s="4" t="str">
        <f t="shared" si="52"/>
        <v>Funcionário</v>
      </c>
    </row>
    <row r="638" spans="1:5">
      <c r="A638" s="4" t="str">
        <f t="shared" si="50"/>
        <v>2</v>
      </c>
      <c r="B638" s="4" t="str">
        <f>"LAURICE ARANTES CHAVES FERNANDES"</f>
        <v>LAURICE ARANTES CHAVES FERNANDES</v>
      </c>
      <c r="C638" s="4" t="str">
        <f>"ANALISTA ESPECIALIZADO"</f>
        <v>ANALISTA ESPECIALIZADO</v>
      </c>
      <c r="D638" s="5">
        <v>200</v>
      </c>
      <c r="E638" s="4" t="str">
        <f t="shared" si="52"/>
        <v>Funcionário</v>
      </c>
    </row>
    <row r="639" spans="1:5">
      <c r="A639" s="4" t="str">
        <f t="shared" si="50"/>
        <v>2</v>
      </c>
      <c r="B639" s="4" t="str">
        <f>"LEANDRO MARQUES HONÓRIO"</f>
        <v>LEANDRO MARQUES HONÓRIO</v>
      </c>
      <c r="C639" s="4" t="str">
        <f>"OFICIAL DE PRODUCAO INDUSTRIAL"</f>
        <v>OFICIAL DE PRODUCAO INDUSTRIAL</v>
      </c>
      <c r="D639" s="5">
        <v>200</v>
      </c>
      <c r="E639" s="4" t="str">
        <f t="shared" si="52"/>
        <v>Funcionário</v>
      </c>
    </row>
    <row r="640" spans="1:5">
      <c r="A640" s="4" t="str">
        <f t="shared" si="50"/>
        <v>2</v>
      </c>
      <c r="B640" s="4" t="str">
        <f>"LEANDRO SILVA DE ALMEIDA"</f>
        <v>LEANDRO SILVA DE ALMEIDA</v>
      </c>
      <c r="C640" s="4" t="str">
        <f>"TEC INDUSTRIAL ESPECIALIZADO"</f>
        <v>TEC INDUSTRIAL ESPECIALIZADO</v>
      </c>
      <c r="D640" s="5">
        <v>200</v>
      </c>
      <c r="E640" s="4" t="str">
        <f t="shared" si="52"/>
        <v>Funcionário</v>
      </c>
    </row>
    <row r="641" spans="1:5">
      <c r="A641" s="4" t="str">
        <f t="shared" si="50"/>
        <v>2</v>
      </c>
      <c r="B641" s="4" t="str">
        <f>"LEONARDO ALVES GUEDES"</f>
        <v>LEONARDO ALVES GUEDES</v>
      </c>
      <c r="C641" s="4" t="str">
        <f>"ADVOGADO"</f>
        <v>ADVOGADO</v>
      </c>
      <c r="D641" s="5">
        <v>204</v>
      </c>
      <c r="E641" s="4" t="str">
        <f t="shared" si="52"/>
        <v>Funcionário</v>
      </c>
    </row>
    <row r="642" spans="1:5">
      <c r="A642" s="4" t="str">
        <f t="shared" si="50"/>
        <v>2</v>
      </c>
      <c r="B642" s="4" t="str">
        <f>"LEONARDO AUGUSTO DURÇO BITAR"</f>
        <v>LEONARDO AUGUSTO DURÇO BITAR</v>
      </c>
      <c r="C642" s="4" t="str">
        <f>"ESPECIALISTA"</f>
        <v>ESPECIALISTA</v>
      </c>
      <c r="D642" s="5">
        <v>200</v>
      </c>
      <c r="E642" s="4" t="str">
        <f t="shared" si="52"/>
        <v>Funcionário</v>
      </c>
    </row>
    <row r="643" spans="1:5">
      <c r="A643" s="4" t="str">
        <f t="shared" si="50"/>
        <v>2</v>
      </c>
      <c r="B643" s="4" t="str">
        <f>"LEONARDO AUGUSTO LIMAS SANTOS"</f>
        <v>LEONARDO AUGUSTO LIMAS SANTOS</v>
      </c>
      <c r="C643" s="4" t="str">
        <f>"OF FERRAMENTARIA INDUSTRIAL"</f>
        <v>OF FERRAMENTARIA INDUSTRIAL</v>
      </c>
      <c r="D643" s="5">
        <v>200</v>
      </c>
      <c r="E643" s="4" t="str">
        <f t="shared" si="52"/>
        <v>Funcionário</v>
      </c>
    </row>
    <row r="644" spans="1:5">
      <c r="A644" s="4" t="str">
        <f t="shared" si="50"/>
        <v>2</v>
      </c>
      <c r="B644" s="4" t="str">
        <f>"LEONARDO JOSE VALLE TRINDADE"</f>
        <v>LEONARDO JOSE VALLE TRINDADE</v>
      </c>
      <c r="C644" s="4" t="str">
        <f>"MOTORISTA DE CAMINHÃO ROTAS REGIONAI"</f>
        <v>MOTORISTA DE CAMINHÃO ROTAS REGIONAI</v>
      </c>
      <c r="D644" s="5">
        <v>206</v>
      </c>
      <c r="E644" s="4" t="str">
        <f t="shared" si="52"/>
        <v>Funcionário</v>
      </c>
    </row>
    <row r="645" spans="1:5">
      <c r="A645" s="4" t="str">
        <f t="shared" si="50"/>
        <v>2</v>
      </c>
      <c r="B645" s="4" t="str">
        <f>"LEONARDO KREMPSER DA SILVA"</f>
        <v>LEONARDO KREMPSER DA SILVA</v>
      </c>
      <c r="C645" s="4" t="str">
        <f>"MILITAR DA ATIVA"</f>
        <v>MILITAR DA ATIVA</v>
      </c>
      <c r="D645" s="5">
        <v>205</v>
      </c>
      <c r="E645" s="4" t="str">
        <f t="shared" si="52"/>
        <v>Funcionário</v>
      </c>
    </row>
    <row r="646" spans="1:5">
      <c r="A646" s="4" t="str">
        <f t="shared" si="50"/>
        <v>2</v>
      </c>
      <c r="B646" s="4" t="str">
        <f>"LEONARDO MATOS MALHEIROS"</f>
        <v>LEONARDO MATOS MALHEIROS</v>
      </c>
      <c r="C646" s="4" t="str">
        <f>"TECNICO SEGURANÇA DO TRABALHO"</f>
        <v>TECNICO SEGURANÇA DO TRABALHO</v>
      </c>
      <c r="D646" s="5">
        <v>200</v>
      </c>
      <c r="E646" s="4" t="str">
        <f t="shared" si="52"/>
        <v>Funcionário</v>
      </c>
    </row>
    <row r="647" spans="1:5">
      <c r="A647" s="4" t="str">
        <f t="shared" si="50"/>
        <v>2</v>
      </c>
      <c r="B647" s="4" t="str">
        <f>"LEONARDO MENDES NOGUEIRA"</f>
        <v>LEONARDO MENDES NOGUEIRA</v>
      </c>
      <c r="C647" s="4" t="str">
        <f>"OF FERRAMENTARIA INDUSTRIAL"</f>
        <v>OF FERRAMENTARIA INDUSTRIAL</v>
      </c>
      <c r="D647" s="5">
        <v>200</v>
      </c>
      <c r="E647" s="4" t="str">
        <f t="shared" si="52"/>
        <v>Funcionário</v>
      </c>
    </row>
    <row r="648" spans="1:5">
      <c r="A648" s="4" t="str">
        <f t="shared" si="50"/>
        <v>2</v>
      </c>
      <c r="B648" s="4" t="str">
        <f>"LIDIANE ALVES RIBEIRO"</f>
        <v>LIDIANE ALVES RIBEIRO</v>
      </c>
      <c r="C648" s="4" t="str">
        <f>"TECNICO ADM ESPECIALIZADO"</f>
        <v>TECNICO ADM ESPECIALIZADO</v>
      </c>
      <c r="D648" s="5">
        <v>200</v>
      </c>
      <c r="E648" s="4" t="str">
        <f t="shared" si="52"/>
        <v>Funcionário</v>
      </c>
    </row>
    <row r="649" spans="1:5">
      <c r="A649" s="4" t="str">
        <f t="shared" si="50"/>
        <v>2</v>
      </c>
      <c r="B649" s="4" t="str">
        <f>"LIDIANNE STELMAN MONSORES"</f>
        <v>LIDIANNE STELMAN MONSORES</v>
      </c>
      <c r="C649" s="4" t="str">
        <f>"TECNICO ADM ESPECIALIZADO"</f>
        <v>TECNICO ADM ESPECIALIZADO</v>
      </c>
      <c r="D649" s="5">
        <v>200</v>
      </c>
      <c r="E649" s="4" t="str">
        <f t="shared" si="52"/>
        <v>Funcionário</v>
      </c>
    </row>
    <row r="650" spans="1:5">
      <c r="A650" s="4" t="str">
        <f t="shared" si="50"/>
        <v>2</v>
      </c>
      <c r="B650" s="4" t="str">
        <f>"LUCAS ANTONIO DE OLIVEIRA SILVA"</f>
        <v>LUCAS ANTONIO DE OLIVEIRA SILVA</v>
      </c>
      <c r="C650" s="4" t="str">
        <f>"OFICIAL DE PRODUCAO INDUSTRIAL"</f>
        <v>OFICIAL DE PRODUCAO INDUSTRIAL</v>
      </c>
      <c r="D650" s="5">
        <v>200</v>
      </c>
      <c r="E650" s="4" t="str">
        <f t="shared" si="52"/>
        <v>Funcionário</v>
      </c>
    </row>
    <row r="651" spans="1:5">
      <c r="A651" s="4" t="str">
        <f t="shared" si="50"/>
        <v>2</v>
      </c>
      <c r="B651" s="4" t="str">
        <f>"LUCAS MACHADO FERREIRA"</f>
        <v>LUCAS MACHADO FERREIRA</v>
      </c>
      <c r="C651" s="4" t="str">
        <f>"TECNICO ADM ESPECIALIZADO"</f>
        <v>TECNICO ADM ESPECIALIZADO</v>
      </c>
      <c r="D651" s="5">
        <v>200</v>
      </c>
      <c r="E651" s="4" t="str">
        <f t="shared" si="52"/>
        <v>Funcionário</v>
      </c>
    </row>
    <row r="652" spans="1:5">
      <c r="A652" s="4" t="str">
        <f t="shared" si="50"/>
        <v>2</v>
      </c>
      <c r="B652" s="4" t="str">
        <f>"LUCAS MELO DA SILVA"</f>
        <v>LUCAS MELO DA SILVA</v>
      </c>
      <c r="C652" s="4" t="str">
        <f>"TEC INDUSTRIAL ESPECIALIZADO"</f>
        <v>TEC INDUSTRIAL ESPECIALIZADO</v>
      </c>
      <c r="D652" s="5">
        <v>200</v>
      </c>
      <c r="E652" s="4" t="str">
        <f t="shared" si="52"/>
        <v>Funcionário</v>
      </c>
    </row>
    <row r="653" spans="1:5">
      <c r="A653" s="4" t="str">
        <f t="shared" si="50"/>
        <v>2</v>
      </c>
      <c r="B653" s="4" t="str">
        <f>"LUCAS MENEZES DE PAULO"</f>
        <v>LUCAS MENEZES DE PAULO</v>
      </c>
      <c r="C653" s="4" t="str">
        <f>"AUX TECNICO ADMINISTRATIVO"</f>
        <v>AUX TECNICO ADMINISTRATIVO</v>
      </c>
      <c r="D653" s="5">
        <v>200</v>
      </c>
      <c r="E653" s="4" t="str">
        <f t="shared" si="52"/>
        <v>Funcionário</v>
      </c>
    </row>
    <row r="654" spans="1:5">
      <c r="A654" s="4" t="str">
        <f t="shared" si="50"/>
        <v>2</v>
      </c>
      <c r="B654" s="4" t="str">
        <f>"LUCAS ROGERIO DA SILVA ROSA"</f>
        <v>LUCAS ROGERIO DA SILVA ROSA</v>
      </c>
      <c r="C654" s="4" t="str">
        <f>"OFICIAL DE PRODUCAO INDUSTRIAL"</f>
        <v>OFICIAL DE PRODUCAO INDUSTRIAL</v>
      </c>
      <c r="D654" s="5">
        <v>200</v>
      </c>
      <c r="E654" s="4" t="str">
        <f t="shared" si="52"/>
        <v>Funcionário</v>
      </c>
    </row>
    <row r="655" spans="1:5">
      <c r="A655" s="4" t="str">
        <f t="shared" si="50"/>
        <v>2</v>
      </c>
      <c r="B655" s="4" t="str">
        <f>"LUCIANA DA SILVA LOPES"</f>
        <v>LUCIANA DA SILVA LOPES</v>
      </c>
      <c r="C655" s="4" t="str">
        <f>"ANALISTA ESPECIALIZADO"</f>
        <v>ANALISTA ESPECIALIZADO</v>
      </c>
      <c r="D655" s="5">
        <v>200</v>
      </c>
      <c r="E655" s="4" t="str">
        <f t="shared" si="52"/>
        <v>Funcionário</v>
      </c>
    </row>
    <row r="656" spans="1:5">
      <c r="A656" s="4" t="str">
        <f t="shared" si="50"/>
        <v>2</v>
      </c>
      <c r="B656" s="4" t="str">
        <f>"LUCIANO ALMEIDA DO COUTO"</f>
        <v>LUCIANO ALMEIDA DO COUTO</v>
      </c>
      <c r="C656" s="4" t="str">
        <f>"OF FERRAMENTARIA INDUSTRIAL"</f>
        <v>OF FERRAMENTARIA INDUSTRIAL</v>
      </c>
      <c r="D656" s="5">
        <v>200</v>
      </c>
      <c r="E656" s="4" t="str">
        <f t="shared" si="52"/>
        <v>Funcionário</v>
      </c>
    </row>
    <row r="657" spans="1:5">
      <c r="A657" s="4" t="str">
        <f t="shared" si="50"/>
        <v>2</v>
      </c>
      <c r="B657" s="4" t="str">
        <f>"LUCIANO CAPORAL BARREIROS"</f>
        <v>LUCIANO CAPORAL BARREIROS</v>
      </c>
      <c r="C657" s="4" t="str">
        <f>"OFICIAL DE PRODUCAO INDUSTRIAL"</f>
        <v>OFICIAL DE PRODUCAO INDUSTRIAL</v>
      </c>
      <c r="D657" s="5">
        <v>200</v>
      </c>
      <c r="E657" s="4" t="str">
        <f t="shared" si="52"/>
        <v>Funcionário</v>
      </c>
    </row>
    <row r="658" spans="1:5">
      <c r="A658" s="4" t="str">
        <f t="shared" si="50"/>
        <v>2</v>
      </c>
      <c r="B658" s="4" t="str">
        <f>"LUCIANO DA SILVA DIAS"</f>
        <v>LUCIANO DA SILVA DIAS</v>
      </c>
      <c r="C658" s="4" t="str">
        <f>"AUX TECNICO ADMINISTRATIVO"</f>
        <v>AUX TECNICO ADMINISTRATIVO</v>
      </c>
      <c r="D658" s="5">
        <v>200</v>
      </c>
      <c r="E658" s="4" t="str">
        <f t="shared" si="52"/>
        <v>Funcionário</v>
      </c>
    </row>
    <row r="659" spans="1:5">
      <c r="A659" s="4" t="str">
        <f t="shared" si="50"/>
        <v>2</v>
      </c>
      <c r="B659" s="4" t="str">
        <f>"LUCIANO DE PAIVA ALBUQUERQUE"</f>
        <v>LUCIANO DE PAIVA ALBUQUERQUE</v>
      </c>
      <c r="C659" s="4" t="str">
        <f>"TEC INDUSTRIAL ESPECIALIZADO"</f>
        <v>TEC INDUSTRIAL ESPECIALIZADO</v>
      </c>
      <c r="D659" s="5">
        <v>200</v>
      </c>
      <c r="E659" s="4" t="str">
        <f t="shared" si="52"/>
        <v>Funcionário</v>
      </c>
    </row>
    <row r="660" spans="1:5">
      <c r="A660" s="4" t="str">
        <f t="shared" si="50"/>
        <v>2</v>
      </c>
      <c r="B660" s="4" t="str">
        <f>"LUCIANO SILVA SANTANA"</f>
        <v>LUCIANO SILVA SANTANA</v>
      </c>
      <c r="C660" s="4" t="str">
        <f>"AGENTE DE APOIO OPERACIONAL"</f>
        <v>AGENTE DE APOIO OPERACIONAL</v>
      </c>
      <c r="D660" s="5">
        <v>200</v>
      </c>
      <c r="E660" s="4" t="str">
        <f t="shared" si="52"/>
        <v>Funcionário</v>
      </c>
    </row>
    <row r="661" spans="1:5">
      <c r="A661" s="4" t="str">
        <f t="shared" si="50"/>
        <v>2</v>
      </c>
      <c r="B661" s="4" t="str">
        <f>"LUCRECIA LACERDA SILVA"</f>
        <v>LUCRECIA LACERDA SILVA</v>
      </c>
      <c r="C661" s="4" t="str">
        <f>"OFICIAL DE PRODUCAO INDUSTRIAL"</f>
        <v>OFICIAL DE PRODUCAO INDUSTRIAL</v>
      </c>
      <c r="D661" s="5">
        <v>200</v>
      </c>
      <c r="E661" s="4" t="str">
        <f>"Aposentado"</f>
        <v>Aposentado</v>
      </c>
    </row>
    <row r="662" spans="1:5">
      <c r="A662" s="4" t="str">
        <f t="shared" si="50"/>
        <v>2</v>
      </c>
      <c r="B662" s="4" t="str">
        <f>"LUIZ CARLOS CORREA"</f>
        <v>LUIZ CARLOS CORREA</v>
      </c>
      <c r="C662" s="4" t="str">
        <f>"TEC INDUSTRIAL ESPECIALIZADO"</f>
        <v>TEC INDUSTRIAL ESPECIALIZADO</v>
      </c>
      <c r="D662" s="5">
        <v>200</v>
      </c>
      <c r="E662" s="4" t="str">
        <f>"Aposentado"</f>
        <v>Aposentado</v>
      </c>
    </row>
    <row r="663" spans="1:5">
      <c r="A663" s="4" t="str">
        <f t="shared" ref="A663:A726" si="53">"2"</f>
        <v>2</v>
      </c>
      <c r="B663" s="4" t="str">
        <f>"LUIZ CLAUDIO AFONSO DOS SANTOS"</f>
        <v>LUIZ CLAUDIO AFONSO DOS SANTOS</v>
      </c>
      <c r="C663" s="4" t="str">
        <f>"ESPECIALISTA"</f>
        <v>ESPECIALISTA</v>
      </c>
      <c r="D663" s="5">
        <v>200</v>
      </c>
      <c r="E663" s="4" t="str">
        <f>"Funcionário"</f>
        <v>Funcionário</v>
      </c>
    </row>
    <row r="664" spans="1:5">
      <c r="A664" s="4" t="str">
        <f t="shared" si="53"/>
        <v>2</v>
      </c>
      <c r="B664" s="4" t="str">
        <f>"MAICON JOSE DA SILVA PIRES"</f>
        <v>MAICON JOSE DA SILVA PIRES</v>
      </c>
      <c r="C664" s="4" t="str">
        <f>"TEC INDUSTRIAL ESPECIALIZADO"</f>
        <v>TEC INDUSTRIAL ESPECIALIZADO</v>
      </c>
      <c r="D664" s="5">
        <v>200</v>
      </c>
      <c r="E664" s="4" t="str">
        <f>"Funcionário"</f>
        <v>Funcionário</v>
      </c>
    </row>
    <row r="665" spans="1:5">
      <c r="A665" s="4" t="str">
        <f t="shared" si="53"/>
        <v>2</v>
      </c>
      <c r="B665" s="4" t="str">
        <f>"MANOEL AMANCIO DA SILVA"</f>
        <v>MANOEL AMANCIO DA SILVA</v>
      </c>
      <c r="C665" s="4" t="str">
        <f>"AUXILIAR TECNICO INDUSTRIAL"</f>
        <v>AUXILIAR TECNICO INDUSTRIAL</v>
      </c>
      <c r="D665" s="5">
        <v>200</v>
      </c>
      <c r="E665" s="4" t="str">
        <f>"Aposentado"</f>
        <v>Aposentado</v>
      </c>
    </row>
    <row r="666" spans="1:5">
      <c r="A666" s="4" t="str">
        <f t="shared" si="53"/>
        <v>2</v>
      </c>
      <c r="B666" s="4" t="str">
        <f>"MARCELINO MARTINS DA COSTA"</f>
        <v>MARCELINO MARTINS DA COSTA</v>
      </c>
      <c r="C666" s="4" t="str">
        <f>"AUXILIAR TECNICO INDUSTRIAL"</f>
        <v>AUXILIAR TECNICO INDUSTRIAL</v>
      </c>
      <c r="D666" s="5">
        <v>200</v>
      </c>
      <c r="E666" s="4" t="str">
        <f t="shared" ref="E666:E672" si="54">"Funcionário"</f>
        <v>Funcionário</v>
      </c>
    </row>
    <row r="667" spans="1:5">
      <c r="A667" s="4" t="str">
        <f t="shared" si="53"/>
        <v>2</v>
      </c>
      <c r="B667" s="4" t="str">
        <f>"MARCELO DOS REIS SANTOS"</f>
        <v>MARCELO DOS REIS SANTOS</v>
      </c>
      <c r="C667" s="4" t="str">
        <f>"OFICIAL DE PRODUCAO INDUSTRIAL"</f>
        <v>OFICIAL DE PRODUCAO INDUSTRIAL</v>
      </c>
      <c r="D667" s="5">
        <v>200</v>
      </c>
      <c r="E667" s="4" t="str">
        <f t="shared" si="54"/>
        <v>Funcionário</v>
      </c>
    </row>
    <row r="668" spans="1:5">
      <c r="A668" s="4" t="str">
        <f t="shared" si="53"/>
        <v>2</v>
      </c>
      <c r="B668" s="4" t="str">
        <f>"MARCELO TEIXEIRA EVANGELISTA"</f>
        <v>MARCELO TEIXEIRA EVANGELISTA</v>
      </c>
      <c r="C668" s="4" t="str">
        <f>"AUXILIAR TECNICO INDUSTRIAL"</f>
        <v>AUXILIAR TECNICO INDUSTRIAL</v>
      </c>
      <c r="D668" s="5">
        <v>200</v>
      </c>
      <c r="E668" s="4" t="str">
        <f t="shared" si="54"/>
        <v>Funcionário</v>
      </c>
    </row>
    <row r="669" spans="1:5">
      <c r="A669" s="4" t="str">
        <f t="shared" si="53"/>
        <v>2</v>
      </c>
      <c r="B669" s="4" t="str">
        <f>"MARCIA CRISTINA FALCI SANTOS"</f>
        <v>MARCIA CRISTINA FALCI SANTOS</v>
      </c>
      <c r="C669" s="4" t="str">
        <f>"AUX TECNICO ADMINISTRATIVO"</f>
        <v>AUX TECNICO ADMINISTRATIVO</v>
      </c>
      <c r="D669" s="5">
        <v>200</v>
      </c>
      <c r="E669" s="4" t="str">
        <f t="shared" si="54"/>
        <v>Funcionário</v>
      </c>
    </row>
    <row r="670" spans="1:5">
      <c r="A670" s="4" t="str">
        <f t="shared" si="53"/>
        <v>2</v>
      </c>
      <c r="B670" s="4" t="str">
        <f>"MARCIA CRISTINA SCHRODER TEIXEIRA"</f>
        <v>MARCIA CRISTINA SCHRODER TEIXEIRA</v>
      </c>
      <c r="C670" s="4" t="str">
        <f>"ANALISTA ESPECIALIZADO"</f>
        <v>ANALISTA ESPECIALIZADO</v>
      </c>
      <c r="D670" s="5">
        <v>200</v>
      </c>
      <c r="E670" s="4" t="str">
        <f t="shared" si="54"/>
        <v>Funcionário</v>
      </c>
    </row>
    <row r="671" spans="1:5">
      <c r="A671" s="4" t="str">
        <f t="shared" si="53"/>
        <v>2</v>
      </c>
      <c r="B671" s="4" t="str">
        <f>"MARCIO DA SILVA NASCIMENTO"</f>
        <v>MARCIO DA SILVA NASCIMENTO</v>
      </c>
      <c r="C671" s="4" t="str">
        <f>"TEC INDUSTRIAL ESPECIALIZADO"</f>
        <v>TEC INDUSTRIAL ESPECIALIZADO</v>
      </c>
      <c r="D671" s="5">
        <v>200</v>
      </c>
      <c r="E671" s="4" t="str">
        <f t="shared" si="54"/>
        <v>Funcionário</v>
      </c>
    </row>
    <row r="672" spans="1:5">
      <c r="A672" s="4" t="str">
        <f t="shared" si="53"/>
        <v>2</v>
      </c>
      <c r="B672" s="4" t="str">
        <f>"MARCIO DE PAULA VENANCIO"</f>
        <v>MARCIO DE PAULA VENANCIO</v>
      </c>
      <c r="C672" s="4" t="str">
        <f>"AUXILIAR TECNICO INDUSTRIAL"</f>
        <v>AUXILIAR TECNICO INDUSTRIAL</v>
      </c>
      <c r="D672" s="5">
        <v>200</v>
      </c>
      <c r="E672" s="4" t="str">
        <f t="shared" si="54"/>
        <v>Funcionário</v>
      </c>
    </row>
    <row r="673" spans="1:5">
      <c r="A673" s="4" t="str">
        <f t="shared" si="53"/>
        <v>2</v>
      </c>
      <c r="B673" s="4" t="str">
        <f>"MARCIO HENRIQUE OLIVA"</f>
        <v>MARCIO HENRIQUE OLIVA</v>
      </c>
      <c r="C673" s="4" t="str">
        <f>"TEC INDUSTRIAL ESPECIALIZADO"</f>
        <v>TEC INDUSTRIAL ESPECIALIZADO</v>
      </c>
      <c r="D673" s="5">
        <v>200</v>
      </c>
      <c r="E673" s="4" t="str">
        <f>"Aposentado"</f>
        <v>Aposentado</v>
      </c>
    </row>
    <row r="674" spans="1:5">
      <c r="A674" s="4" t="str">
        <f t="shared" si="53"/>
        <v>2</v>
      </c>
      <c r="B674" s="4" t="str">
        <f>"MARCIO RODRIGUES MARTINS"</f>
        <v>MARCIO RODRIGUES MARTINS</v>
      </c>
      <c r="C674" s="4" t="str">
        <f>"AUXILIAR TECNICO INDUSTRIAL"</f>
        <v>AUXILIAR TECNICO INDUSTRIAL</v>
      </c>
      <c r="D674" s="5">
        <v>200</v>
      </c>
      <c r="E674" s="4" t="str">
        <f>"Aposentado"</f>
        <v>Aposentado</v>
      </c>
    </row>
    <row r="675" spans="1:5">
      <c r="A675" s="4" t="str">
        <f t="shared" si="53"/>
        <v>2</v>
      </c>
      <c r="B675" s="4" t="str">
        <f>"MARCO ANTÔNIO DA SILVA"</f>
        <v>MARCO ANTÔNIO DA SILVA</v>
      </c>
      <c r="C675" s="4" t="str">
        <f>"AUX TECNICO ADMINISTRATIVO"</f>
        <v>AUX TECNICO ADMINISTRATIVO</v>
      </c>
      <c r="D675" s="5">
        <v>200</v>
      </c>
      <c r="E675" s="4" t="str">
        <f>"Funcionário"</f>
        <v>Funcionário</v>
      </c>
    </row>
    <row r="676" spans="1:5">
      <c r="A676" s="4" t="str">
        <f t="shared" si="53"/>
        <v>2</v>
      </c>
      <c r="B676" s="4" t="str">
        <f>"MARCO ANTONIO DE PAULA OLIMPIO"</f>
        <v>MARCO ANTONIO DE PAULA OLIMPIO</v>
      </c>
      <c r="C676" s="4" t="str">
        <f>"OFICIAL DE PRODUCAO INDUSTRIAL"</f>
        <v>OFICIAL DE PRODUCAO INDUSTRIAL</v>
      </c>
      <c r="D676" s="5">
        <v>200</v>
      </c>
      <c r="E676" s="4" t="str">
        <f>"Funcionário"</f>
        <v>Funcionário</v>
      </c>
    </row>
    <row r="677" spans="1:5">
      <c r="A677" s="4" t="str">
        <f t="shared" si="53"/>
        <v>2</v>
      </c>
      <c r="B677" s="4" t="str">
        <f>"MARCOS ALBERTO DA SILVA"</f>
        <v>MARCOS ALBERTO DA SILVA</v>
      </c>
      <c r="C677" s="4" t="str">
        <f>"OF FERRAMENTARIA INDUSTRIAL"</f>
        <v>OF FERRAMENTARIA INDUSTRIAL</v>
      </c>
      <c r="D677" s="5">
        <v>200</v>
      </c>
      <c r="E677" s="4" t="str">
        <f>"Aposentado"</f>
        <v>Aposentado</v>
      </c>
    </row>
    <row r="678" spans="1:5">
      <c r="A678" s="4" t="str">
        <f t="shared" si="53"/>
        <v>2</v>
      </c>
      <c r="B678" s="4" t="str">
        <f>"MARCOS ANDRE ALVES"</f>
        <v>MARCOS ANDRE ALVES</v>
      </c>
      <c r="C678" s="4" t="str">
        <f>"OFICIAL DE PRODUCAO INDUSTRIAL"</f>
        <v>OFICIAL DE PRODUCAO INDUSTRIAL</v>
      </c>
      <c r="D678" s="5">
        <v>200</v>
      </c>
      <c r="E678" s="4" t="str">
        <f>"Funcionário"</f>
        <v>Funcionário</v>
      </c>
    </row>
    <row r="679" spans="1:5">
      <c r="A679" s="4" t="str">
        <f t="shared" si="53"/>
        <v>2</v>
      </c>
      <c r="B679" s="4" t="str">
        <f>"MARCOS GAGLIARDI DE SOUZA"</f>
        <v>MARCOS GAGLIARDI DE SOUZA</v>
      </c>
      <c r="C679" s="4" t="str">
        <f>"Estagiario"</f>
        <v>Estagiario</v>
      </c>
      <c r="D679" s="5">
        <v>35</v>
      </c>
      <c r="E679" s="4" t="str">
        <f>"Estagiário"</f>
        <v>Estagiário</v>
      </c>
    </row>
    <row r="680" spans="1:5">
      <c r="A680" s="4" t="str">
        <f t="shared" si="53"/>
        <v>2</v>
      </c>
      <c r="B680" s="4" t="str">
        <f>"MARCOS PAULO ALVES BARBOZA"</f>
        <v>MARCOS PAULO ALVES BARBOZA</v>
      </c>
      <c r="C680" s="4" t="str">
        <f>"MILITAR DA ATIVA"</f>
        <v>MILITAR DA ATIVA</v>
      </c>
      <c r="D680" s="5">
        <v>205</v>
      </c>
      <c r="E680" s="4" t="str">
        <f>"Funcionário"</f>
        <v>Funcionário</v>
      </c>
    </row>
    <row r="681" spans="1:5">
      <c r="A681" s="4" t="str">
        <f t="shared" si="53"/>
        <v>2</v>
      </c>
      <c r="B681" s="4" t="str">
        <f>"MARIA APARECIDA DE LIMA FERNANDES"</f>
        <v>MARIA APARECIDA DE LIMA FERNANDES</v>
      </c>
      <c r="C681" s="4" t="str">
        <f>"AUX TECNICO ADMINISTRATIVO"</f>
        <v>AUX TECNICO ADMINISTRATIVO</v>
      </c>
      <c r="D681" s="5">
        <v>200</v>
      </c>
      <c r="E681" s="4" t="str">
        <f>"Funcionário"</f>
        <v>Funcionário</v>
      </c>
    </row>
    <row r="682" spans="1:5">
      <c r="A682" s="4" t="str">
        <f t="shared" si="53"/>
        <v>2</v>
      </c>
      <c r="B682" s="4" t="str">
        <f>"MARIA DE FATIMA ALVES"</f>
        <v>MARIA DE FATIMA ALVES</v>
      </c>
      <c r="C682" s="4" t="str">
        <f>"OFICIAL DE PRODUCAO INDUSTRIAL"</f>
        <v>OFICIAL DE PRODUCAO INDUSTRIAL</v>
      </c>
      <c r="D682" s="5">
        <v>200</v>
      </c>
      <c r="E682" s="4" t="str">
        <f>"Aposentado"</f>
        <v>Aposentado</v>
      </c>
    </row>
    <row r="683" spans="1:5">
      <c r="A683" s="4" t="str">
        <f t="shared" si="53"/>
        <v>2</v>
      </c>
      <c r="B683" s="4" t="str">
        <f>"MARIANA ÁLVARO SILVA RODRIGUES"</f>
        <v>MARIANA ÁLVARO SILVA RODRIGUES</v>
      </c>
      <c r="C683" s="4" t="str">
        <f>"TECNICO EM RADIOLOGIA"</f>
        <v>TECNICO EM RADIOLOGIA</v>
      </c>
      <c r="D683" s="5">
        <v>200</v>
      </c>
      <c r="E683" s="4" t="str">
        <f t="shared" ref="E683:E688" si="55">"Funcionário"</f>
        <v>Funcionário</v>
      </c>
    </row>
    <row r="684" spans="1:5">
      <c r="A684" s="4" t="str">
        <f t="shared" si="53"/>
        <v>2</v>
      </c>
      <c r="B684" s="4" t="str">
        <f>"MARIANA DINI CALÇADO"</f>
        <v>MARIANA DINI CALÇADO</v>
      </c>
      <c r="C684" s="4" t="str">
        <f>"CHEFE DE DIVISAO II"</f>
        <v>CHEFE DE DIVISAO II</v>
      </c>
      <c r="D684" s="5">
        <v>201</v>
      </c>
      <c r="E684" s="4" t="str">
        <f t="shared" si="55"/>
        <v>Funcionário</v>
      </c>
    </row>
    <row r="685" spans="1:5">
      <c r="A685" s="4" t="str">
        <f t="shared" si="53"/>
        <v>2</v>
      </c>
      <c r="B685" s="4" t="str">
        <f>"MARINA ROCHA TEIXEIRA"</f>
        <v>MARINA ROCHA TEIXEIRA</v>
      </c>
      <c r="C685" s="4" t="str">
        <f>"TEC INDUSTRIAL ESPECIALIZADO"</f>
        <v>TEC INDUSTRIAL ESPECIALIZADO</v>
      </c>
      <c r="D685" s="5">
        <v>200</v>
      </c>
      <c r="E685" s="4" t="str">
        <f t="shared" si="55"/>
        <v>Funcionário</v>
      </c>
    </row>
    <row r="686" spans="1:5">
      <c r="A686" s="4" t="str">
        <f t="shared" si="53"/>
        <v>2</v>
      </c>
      <c r="B686" s="4" t="str">
        <f>"MARIO MARCIO DIAS JUNIOR"</f>
        <v>MARIO MARCIO DIAS JUNIOR</v>
      </c>
      <c r="C686" s="4" t="str">
        <f>"TEC INDUSTRIAL ESPECIALIZADO"</f>
        <v>TEC INDUSTRIAL ESPECIALIZADO</v>
      </c>
      <c r="D686" s="5">
        <v>200</v>
      </c>
      <c r="E686" s="4" t="str">
        <f t="shared" si="55"/>
        <v>Funcionário</v>
      </c>
    </row>
    <row r="687" spans="1:5">
      <c r="A687" s="4" t="str">
        <f t="shared" si="53"/>
        <v>2</v>
      </c>
      <c r="B687" s="4" t="str">
        <f>"MARY LUCIA DA SILVA"</f>
        <v>MARY LUCIA DA SILVA</v>
      </c>
      <c r="C687" s="4" t="str">
        <f>"TECNICO ADM ESPECIALIZADO"</f>
        <v>TECNICO ADM ESPECIALIZADO</v>
      </c>
      <c r="D687" s="5">
        <v>200</v>
      </c>
      <c r="E687" s="4" t="str">
        <f t="shared" si="55"/>
        <v>Funcionário</v>
      </c>
    </row>
    <row r="688" spans="1:5">
      <c r="A688" s="4" t="str">
        <f t="shared" si="53"/>
        <v>2</v>
      </c>
      <c r="B688" s="4" t="str">
        <f>"MATHEUS DE OLIVEIRA MOREIRA"</f>
        <v>MATHEUS DE OLIVEIRA MOREIRA</v>
      </c>
      <c r="C688" s="4" t="str">
        <f>"ENGENHEIRO"</f>
        <v>ENGENHEIRO</v>
      </c>
      <c r="D688" s="5">
        <v>200</v>
      </c>
      <c r="E688" s="4" t="str">
        <f t="shared" si="55"/>
        <v>Funcionário</v>
      </c>
    </row>
    <row r="689" spans="1:5">
      <c r="A689" s="4" t="str">
        <f t="shared" si="53"/>
        <v>2</v>
      </c>
      <c r="B689" s="4" t="str">
        <f>"MATHEUS EDUARDO DE SOUZA ARAÚJO"</f>
        <v>MATHEUS EDUARDO DE SOUZA ARAÚJO</v>
      </c>
      <c r="C689" s="4" t="str">
        <f>"APRENDIZ- PRODUÇÃO"</f>
        <v>APRENDIZ- PRODUÇÃO</v>
      </c>
      <c r="D689" s="5">
        <v>36</v>
      </c>
      <c r="E689" s="4" t="str">
        <f>"Aprendiz"</f>
        <v>Aprendiz</v>
      </c>
    </row>
    <row r="690" spans="1:5">
      <c r="A690" s="4" t="str">
        <f t="shared" si="53"/>
        <v>2</v>
      </c>
      <c r="B690" s="4" t="str">
        <f>"MATHEUS FONSECA CROCI"</f>
        <v>MATHEUS FONSECA CROCI</v>
      </c>
      <c r="C690" s="4" t="str">
        <f>"APRENDIZ- PRODUÇÃO"</f>
        <v>APRENDIZ- PRODUÇÃO</v>
      </c>
      <c r="D690" s="5">
        <v>36</v>
      </c>
      <c r="E690" s="4" t="str">
        <f>"Aprendiz"</f>
        <v>Aprendiz</v>
      </c>
    </row>
    <row r="691" spans="1:5">
      <c r="A691" s="4" t="str">
        <f t="shared" si="53"/>
        <v>2</v>
      </c>
      <c r="B691" s="4" t="str">
        <f>"MAURO EDUARDO CABRAL"</f>
        <v>MAURO EDUARDO CABRAL</v>
      </c>
      <c r="C691" s="4" t="str">
        <f>"Estagiario"</f>
        <v>Estagiario</v>
      </c>
      <c r="D691" s="5">
        <v>35</v>
      </c>
      <c r="E691" s="4" t="str">
        <f>"Estagiário"</f>
        <v>Estagiário</v>
      </c>
    </row>
    <row r="692" spans="1:5">
      <c r="A692" s="4" t="str">
        <f t="shared" si="53"/>
        <v>2</v>
      </c>
      <c r="B692" s="4" t="str">
        <f>"MAURO MARCOLINO TEIXEIRA"</f>
        <v>MAURO MARCOLINO TEIXEIRA</v>
      </c>
      <c r="C692" s="4" t="str">
        <f>"OPER PRODUCAO III"</f>
        <v>OPER PRODUCAO III</v>
      </c>
      <c r="D692" s="5">
        <v>200</v>
      </c>
      <c r="E692" s="4" t="str">
        <f>"Funcionário"</f>
        <v>Funcionário</v>
      </c>
    </row>
    <row r="693" spans="1:5">
      <c r="A693" s="4" t="str">
        <f t="shared" si="53"/>
        <v>2</v>
      </c>
      <c r="B693" s="4" t="str">
        <f>"MAYCON CONSTANCIO DE LIMA"</f>
        <v>MAYCON CONSTANCIO DE LIMA</v>
      </c>
      <c r="C693" s="4" t="str">
        <f>"AUX TECNICO ADMINISTRATIVO"</f>
        <v>AUX TECNICO ADMINISTRATIVO</v>
      </c>
      <c r="D693" s="5">
        <v>200</v>
      </c>
      <c r="E693" s="4" t="str">
        <f>"Funcionário"</f>
        <v>Funcionário</v>
      </c>
    </row>
    <row r="694" spans="1:5">
      <c r="A694" s="4" t="str">
        <f t="shared" si="53"/>
        <v>2</v>
      </c>
      <c r="B694" s="4" t="str">
        <f>"MIGUEL CAMILO MAXIMO DE OLIVEIRA"</f>
        <v>MIGUEL CAMILO MAXIMO DE OLIVEIRA</v>
      </c>
      <c r="C694" s="4" t="str">
        <f>"APRENDIZ- PRODUÇÃO"</f>
        <v>APRENDIZ- PRODUÇÃO</v>
      </c>
      <c r="D694" s="5">
        <v>36</v>
      </c>
      <c r="E694" s="4" t="str">
        <f>"Aprendiz"</f>
        <v>Aprendiz</v>
      </c>
    </row>
    <row r="695" spans="1:5">
      <c r="A695" s="4" t="str">
        <f t="shared" si="53"/>
        <v>2</v>
      </c>
      <c r="B695" s="4" t="str">
        <f>"MIGUEL COURI GABRIEL DA CUNHA"</f>
        <v>MIGUEL COURI GABRIEL DA CUNHA</v>
      </c>
      <c r="C695" s="4" t="str">
        <f>"ENGENHEIRO"</f>
        <v>ENGENHEIRO</v>
      </c>
      <c r="D695" s="5">
        <v>200</v>
      </c>
      <c r="E695" s="4" t="str">
        <f>"Aposentado"</f>
        <v>Aposentado</v>
      </c>
    </row>
    <row r="696" spans="1:5">
      <c r="A696" s="4" t="str">
        <f t="shared" si="53"/>
        <v>2</v>
      </c>
      <c r="B696" s="4" t="str">
        <f>"MONIQUE MARA SENRA MEIRELES MACHADO"</f>
        <v>MONIQUE MARA SENRA MEIRELES MACHADO</v>
      </c>
      <c r="C696" s="4" t="str">
        <f>"TECNICO SEGURANÇA DO TRABALHO"</f>
        <v>TECNICO SEGURANÇA DO TRABALHO</v>
      </c>
      <c r="D696" s="5">
        <v>200</v>
      </c>
      <c r="E696" s="4" t="str">
        <f t="shared" ref="E696:E701" si="56">"Funcionário"</f>
        <v>Funcionário</v>
      </c>
    </row>
    <row r="697" spans="1:5">
      <c r="A697" s="4" t="str">
        <f t="shared" si="53"/>
        <v>2</v>
      </c>
      <c r="B697" s="4" t="str">
        <f>"NATALIA ROCHA NASCIMENTO"</f>
        <v>NATALIA ROCHA NASCIMENTO</v>
      </c>
      <c r="C697" s="4" t="str">
        <f>"ANALISTA ESPECIALIZADO"</f>
        <v>ANALISTA ESPECIALIZADO</v>
      </c>
      <c r="D697" s="5">
        <v>200</v>
      </c>
      <c r="E697" s="4" t="str">
        <f t="shared" si="56"/>
        <v>Funcionário</v>
      </c>
    </row>
    <row r="698" spans="1:5">
      <c r="A698" s="4" t="str">
        <f t="shared" si="53"/>
        <v>2</v>
      </c>
      <c r="B698" s="4" t="str">
        <f>"NATHALIA LILIAN LEITE FERREIRA"</f>
        <v>NATHALIA LILIAN LEITE FERREIRA</v>
      </c>
      <c r="C698" s="4" t="str">
        <f>"ESPECIALISTA"</f>
        <v>ESPECIALISTA</v>
      </c>
      <c r="D698" s="5">
        <v>200</v>
      </c>
      <c r="E698" s="4" t="str">
        <f t="shared" si="56"/>
        <v>Funcionário</v>
      </c>
    </row>
    <row r="699" spans="1:5">
      <c r="A699" s="4" t="str">
        <f t="shared" si="53"/>
        <v>2</v>
      </c>
      <c r="B699" s="4" t="str">
        <f>"NATHALIA PEREIRA DA SILVA JARDIM"</f>
        <v>NATHALIA PEREIRA DA SILVA JARDIM</v>
      </c>
      <c r="C699" s="4" t="str">
        <f>"TECNICO ADM ESPECIALIZADO"</f>
        <v>TECNICO ADM ESPECIALIZADO</v>
      </c>
      <c r="D699" s="5">
        <v>200</v>
      </c>
      <c r="E699" s="4" t="str">
        <f t="shared" si="56"/>
        <v>Funcionário</v>
      </c>
    </row>
    <row r="700" spans="1:5">
      <c r="A700" s="4" t="str">
        <f t="shared" si="53"/>
        <v>2</v>
      </c>
      <c r="B700" s="4" t="str">
        <f>"NATHANAEL HELENILSON COSTA"</f>
        <v>NATHANAEL HELENILSON COSTA</v>
      </c>
      <c r="C700" s="4" t="str">
        <f>"OF FERRAMENTARIA INDUSTRIAL"</f>
        <v>OF FERRAMENTARIA INDUSTRIAL</v>
      </c>
      <c r="D700" s="5">
        <v>200</v>
      </c>
      <c r="E700" s="4" t="str">
        <f t="shared" si="56"/>
        <v>Funcionário</v>
      </c>
    </row>
    <row r="701" spans="1:5">
      <c r="A701" s="4" t="str">
        <f t="shared" si="53"/>
        <v>2</v>
      </c>
      <c r="B701" s="4" t="str">
        <f>"NEIVA FERNANDES DE AQUINO"</f>
        <v>NEIVA FERNANDES DE AQUINO</v>
      </c>
      <c r="C701" s="4" t="str">
        <f>"OFICIAL DE PRODUCAO INDUSTRIAL"</f>
        <v>OFICIAL DE PRODUCAO INDUSTRIAL</v>
      </c>
      <c r="D701" s="5">
        <v>200</v>
      </c>
      <c r="E701" s="4" t="str">
        <f t="shared" si="56"/>
        <v>Funcionário</v>
      </c>
    </row>
    <row r="702" spans="1:5">
      <c r="A702" s="4" t="str">
        <f t="shared" si="53"/>
        <v>2</v>
      </c>
      <c r="B702" s="4" t="str">
        <f>"NIVIO ANTONIO GONCALVES"</f>
        <v>NIVIO ANTONIO GONCALVES</v>
      </c>
      <c r="C702" s="4" t="str">
        <f>"OFICIAL DE PRODUCAO INDUSTRIAL"</f>
        <v>OFICIAL DE PRODUCAO INDUSTRIAL</v>
      </c>
      <c r="D702" s="5">
        <v>200</v>
      </c>
      <c r="E702" s="4" t="str">
        <f>"Aposentado"</f>
        <v>Aposentado</v>
      </c>
    </row>
    <row r="703" spans="1:5">
      <c r="A703" s="4" t="str">
        <f t="shared" si="53"/>
        <v>2</v>
      </c>
      <c r="B703" s="4" t="str">
        <f>"ODOMAR LIMA GONCALVES"</f>
        <v>ODOMAR LIMA GONCALVES</v>
      </c>
      <c r="C703" s="4" t="str">
        <f>"TEC INDUSTRIAL ESPECIALIZADO"</f>
        <v>TEC INDUSTRIAL ESPECIALIZADO</v>
      </c>
      <c r="D703" s="5">
        <v>200</v>
      </c>
      <c r="E703" s="4" t="str">
        <f t="shared" ref="E703:E709" si="57">"Funcionário"</f>
        <v>Funcionário</v>
      </c>
    </row>
    <row r="704" spans="1:5">
      <c r="A704" s="4" t="str">
        <f t="shared" si="53"/>
        <v>2</v>
      </c>
      <c r="B704" s="4" t="str">
        <f>"PABLO DE SOUZA OLIVEIRA"</f>
        <v>PABLO DE SOUZA OLIVEIRA</v>
      </c>
      <c r="C704" s="4" t="str">
        <f>"TEC INDUSTRIAL ESPECIALIZADO"</f>
        <v>TEC INDUSTRIAL ESPECIALIZADO</v>
      </c>
      <c r="D704" s="5">
        <v>200</v>
      </c>
      <c r="E704" s="4" t="str">
        <f t="shared" si="57"/>
        <v>Funcionário</v>
      </c>
    </row>
    <row r="705" spans="1:5">
      <c r="A705" s="4" t="str">
        <f t="shared" si="53"/>
        <v>2</v>
      </c>
      <c r="B705" s="4" t="str">
        <f>"PABLO RODRIGO DE OLIVEIRA"</f>
        <v>PABLO RODRIGO DE OLIVEIRA</v>
      </c>
      <c r="C705" s="4" t="str">
        <f>"AUXILIAR TECNICO INDUSTRIAL"</f>
        <v>AUXILIAR TECNICO INDUSTRIAL</v>
      </c>
      <c r="D705" s="5">
        <v>200</v>
      </c>
      <c r="E705" s="4" t="str">
        <f t="shared" si="57"/>
        <v>Funcionário</v>
      </c>
    </row>
    <row r="706" spans="1:5">
      <c r="A706" s="4" t="str">
        <f t="shared" si="53"/>
        <v>2</v>
      </c>
      <c r="B706" s="4" t="str">
        <f>"PATRICIA DE JESUS DO NASCIMENTO DIAS"</f>
        <v>PATRICIA DE JESUS DO NASCIMENTO DIAS</v>
      </c>
      <c r="C706" s="4" t="str">
        <f>"ESPECIALISTA"</f>
        <v>ESPECIALISTA</v>
      </c>
      <c r="D706" s="5">
        <v>200</v>
      </c>
      <c r="E706" s="4" t="str">
        <f t="shared" si="57"/>
        <v>Funcionário</v>
      </c>
    </row>
    <row r="707" spans="1:5">
      <c r="A707" s="4" t="str">
        <f t="shared" si="53"/>
        <v>2</v>
      </c>
      <c r="B707" s="4" t="str">
        <f>"PATRICIA MARTINS DEL PUPO"</f>
        <v>PATRICIA MARTINS DEL PUPO</v>
      </c>
      <c r="C707" s="4" t="str">
        <f>"ENGENHEIRO"</f>
        <v>ENGENHEIRO</v>
      </c>
      <c r="D707" s="5">
        <v>200</v>
      </c>
      <c r="E707" s="4" t="str">
        <f t="shared" si="57"/>
        <v>Funcionário</v>
      </c>
    </row>
    <row r="708" spans="1:5">
      <c r="A708" s="4" t="str">
        <f t="shared" si="53"/>
        <v>2</v>
      </c>
      <c r="B708" s="4" t="str">
        <f>"PATRICIA MENDES CARDOSO"</f>
        <v>PATRICIA MENDES CARDOSO</v>
      </c>
      <c r="C708" s="4" t="str">
        <f>"OFICIAL DE PRODUCAO INDUSTRIAL"</f>
        <v>OFICIAL DE PRODUCAO INDUSTRIAL</v>
      </c>
      <c r="D708" s="5">
        <v>200</v>
      </c>
      <c r="E708" s="4" t="str">
        <f t="shared" si="57"/>
        <v>Funcionário</v>
      </c>
    </row>
    <row r="709" spans="1:5">
      <c r="A709" s="4" t="str">
        <f t="shared" si="53"/>
        <v>2</v>
      </c>
      <c r="B709" s="4" t="str">
        <f>"PATRICK SEBASTIAN ASSIS TEIXEIRA"</f>
        <v>PATRICK SEBASTIAN ASSIS TEIXEIRA</v>
      </c>
      <c r="C709" s="4" t="str">
        <f>"TEC INDUSTRIAL ESPECIALIZADO"</f>
        <v>TEC INDUSTRIAL ESPECIALIZADO</v>
      </c>
      <c r="D709" s="5">
        <v>200</v>
      </c>
      <c r="E709" s="4" t="str">
        <f t="shared" si="57"/>
        <v>Funcionário</v>
      </c>
    </row>
    <row r="710" spans="1:5">
      <c r="A710" s="4" t="str">
        <f t="shared" si="53"/>
        <v>2</v>
      </c>
      <c r="B710" s="4" t="str">
        <f>"PAULO AUGUSTO DA SILVA"</f>
        <v>PAULO AUGUSTO DA SILVA</v>
      </c>
      <c r="C710" s="4" t="str">
        <f>"OFICIAL DE PRODUCAO INDUSTRIAL"</f>
        <v>OFICIAL DE PRODUCAO INDUSTRIAL</v>
      </c>
      <c r="D710" s="5">
        <v>200</v>
      </c>
      <c r="E710" s="4" t="str">
        <f>"Aposentado"</f>
        <v>Aposentado</v>
      </c>
    </row>
    <row r="711" spans="1:5">
      <c r="A711" s="4" t="str">
        <f t="shared" si="53"/>
        <v>2</v>
      </c>
      <c r="B711" s="4" t="str">
        <f>"PAULO CESAR"</f>
        <v>PAULO CESAR</v>
      </c>
      <c r="C711" s="4" t="str">
        <f>"AUXILIAR TECNICO INDUSTRIAL"</f>
        <v>AUXILIAR TECNICO INDUSTRIAL</v>
      </c>
      <c r="D711" s="5">
        <v>200</v>
      </c>
      <c r="E711" s="4" t="str">
        <f>"Aposentado"</f>
        <v>Aposentado</v>
      </c>
    </row>
    <row r="712" spans="1:5">
      <c r="A712" s="4" t="str">
        <f t="shared" si="53"/>
        <v>2</v>
      </c>
      <c r="B712" s="4" t="str">
        <f>"PAULO CESAR FERNANDES"</f>
        <v>PAULO CESAR FERNANDES</v>
      </c>
      <c r="C712" s="4" t="str">
        <f>"OFICIAL DE PRODUCAO INDUSTRIAL"</f>
        <v>OFICIAL DE PRODUCAO INDUSTRIAL</v>
      </c>
      <c r="D712" s="5">
        <v>200</v>
      </c>
      <c r="E712" s="4" t="str">
        <f t="shared" ref="E712:E729" si="58">"Funcionário"</f>
        <v>Funcionário</v>
      </c>
    </row>
    <row r="713" spans="1:5">
      <c r="A713" s="4" t="str">
        <f t="shared" si="53"/>
        <v>2</v>
      </c>
      <c r="B713" s="4" t="str">
        <f>"PAULO ROBERTO DOS REIS SOUZA"</f>
        <v>PAULO ROBERTO DOS REIS SOUZA</v>
      </c>
      <c r="C713" s="4" t="str">
        <f>"OFICIAL DE PRODUCAO INDUSTRIAL"</f>
        <v>OFICIAL DE PRODUCAO INDUSTRIAL</v>
      </c>
      <c r="D713" s="5">
        <v>200</v>
      </c>
      <c r="E713" s="4" t="str">
        <f t="shared" si="58"/>
        <v>Funcionário</v>
      </c>
    </row>
    <row r="714" spans="1:5">
      <c r="A714" s="4" t="str">
        <f t="shared" si="53"/>
        <v>2</v>
      </c>
      <c r="B714" s="4" t="str">
        <f>"PAULO SERGIO DE SOUZA"</f>
        <v>PAULO SERGIO DE SOUZA</v>
      </c>
      <c r="C714" s="4" t="str">
        <f>"TEC INDUSTRIAL ESPECIALIZADO"</f>
        <v>TEC INDUSTRIAL ESPECIALIZADO</v>
      </c>
      <c r="D714" s="5">
        <v>200</v>
      </c>
      <c r="E714" s="4" t="str">
        <f t="shared" si="58"/>
        <v>Funcionário</v>
      </c>
    </row>
    <row r="715" spans="1:5">
      <c r="A715" s="4" t="str">
        <f t="shared" si="53"/>
        <v>2</v>
      </c>
      <c r="B715" s="4" t="str">
        <f>"PEDRO HENRIQUE GOMES DE OLIVEIRA"</f>
        <v>PEDRO HENRIQUE GOMES DE OLIVEIRA</v>
      </c>
      <c r="C715" s="4" t="str">
        <f>"TEC INDUSTRIAL ESPECIALIZADO"</f>
        <v>TEC INDUSTRIAL ESPECIALIZADO</v>
      </c>
      <c r="D715" s="5">
        <v>200</v>
      </c>
      <c r="E715" s="4" t="str">
        <f t="shared" si="58"/>
        <v>Funcionário</v>
      </c>
    </row>
    <row r="716" spans="1:5">
      <c r="A716" s="4" t="str">
        <f t="shared" si="53"/>
        <v>2</v>
      </c>
      <c r="B716" s="4" t="str">
        <f>"PEDRO LUIZ DE PAULA JUNIOR"</f>
        <v>PEDRO LUIZ DE PAULA JUNIOR</v>
      </c>
      <c r="C716" s="4" t="str">
        <f>"TECNICO ADM ESPECIALIZADO"</f>
        <v>TECNICO ADM ESPECIALIZADO</v>
      </c>
      <c r="D716" s="5">
        <v>200</v>
      </c>
      <c r="E716" s="4" t="str">
        <f t="shared" si="58"/>
        <v>Funcionário</v>
      </c>
    </row>
    <row r="717" spans="1:5">
      <c r="A717" s="4" t="str">
        <f t="shared" si="53"/>
        <v>2</v>
      </c>
      <c r="B717" s="4" t="str">
        <f>"PEDRO MELGAÇO DE MIRANDA CARVALHO"</f>
        <v>PEDRO MELGAÇO DE MIRANDA CARVALHO</v>
      </c>
      <c r="C717" s="4" t="str">
        <f>"OFICIAL DE PRODUCAO INDUSTRIAL"</f>
        <v>OFICIAL DE PRODUCAO INDUSTRIAL</v>
      </c>
      <c r="D717" s="5">
        <v>200</v>
      </c>
      <c r="E717" s="4" t="str">
        <f t="shared" si="58"/>
        <v>Funcionário</v>
      </c>
    </row>
    <row r="718" spans="1:5">
      <c r="A718" s="4" t="str">
        <f t="shared" si="53"/>
        <v>2</v>
      </c>
      <c r="B718" s="4" t="str">
        <f>"RAFAEL DE CAMPOS PAULO"</f>
        <v>RAFAEL DE CAMPOS PAULO</v>
      </c>
      <c r="C718" s="4" t="str">
        <f>"TEC INDUSTRIAL ESPECIALIZADO"</f>
        <v>TEC INDUSTRIAL ESPECIALIZADO</v>
      </c>
      <c r="D718" s="5">
        <v>200</v>
      </c>
      <c r="E718" s="4" t="str">
        <f t="shared" si="58"/>
        <v>Funcionário</v>
      </c>
    </row>
    <row r="719" spans="1:5">
      <c r="A719" s="4" t="str">
        <f t="shared" si="53"/>
        <v>2</v>
      </c>
      <c r="B719" s="4" t="str">
        <f>"RAFAEL HENRIQUE SILVA PINTO"</f>
        <v>RAFAEL HENRIQUE SILVA PINTO</v>
      </c>
      <c r="C719" s="4" t="str">
        <f>"OFICIAL DE PRODUCAO INDUSTRIAL"</f>
        <v>OFICIAL DE PRODUCAO INDUSTRIAL</v>
      </c>
      <c r="D719" s="5">
        <v>200</v>
      </c>
      <c r="E719" s="4" t="str">
        <f t="shared" si="58"/>
        <v>Funcionário</v>
      </c>
    </row>
    <row r="720" spans="1:5">
      <c r="A720" s="4" t="str">
        <f t="shared" si="53"/>
        <v>2</v>
      </c>
      <c r="B720" s="4" t="str">
        <f>"RAFAEL MARTINS RODRIGUES"</f>
        <v>RAFAEL MARTINS RODRIGUES</v>
      </c>
      <c r="C720" s="4" t="str">
        <f>"TEC INDUSTRIAL ESPECIALIZADO"</f>
        <v>TEC INDUSTRIAL ESPECIALIZADO</v>
      </c>
      <c r="D720" s="5">
        <v>200</v>
      </c>
      <c r="E720" s="4" t="str">
        <f t="shared" si="58"/>
        <v>Funcionário</v>
      </c>
    </row>
    <row r="721" spans="1:5">
      <c r="A721" s="4" t="str">
        <f t="shared" si="53"/>
        <v>2</v>
      </c>
      <c r="B721" s="4" t="str">
        <f>"RAFAEL MENDES BARRETO"</f>
        <v>RAFAEL MENDES BARRETO</v>
      </c>
      <c r="C721" s="4" t="str">
        <f>"OFICIAL DE PRODUCAO INDUSTRIAL"</f>
        <v>OFICIAL DE PRODUCAO INDUSTRIAL</v>
      </c>
      <c r="D721" s="5">
        <v>200</v>
      </c>
      <c r="E721" s="4" t="str">
        <f t="shared" si="58"/>
        <v>Funcionário</v>
      </c>
    </row>
    <row r="722" spans="1:5">
      <c r="A722" s="4" t="str">
        <f t="shared" si="53"/>
        <v>2</v>
      </c>
      <c r="B722" s="4" t="str">
        <f>"RAFAELA TEIXEIRA BRASILIANO"</f>
        <v>RAFAELA TEIXEIRA BRASILIANO</v>
      </c>
      <c r="C722" s="4" t="str">
        <f>"TEC INDUSTRIAL ESPECIALIZADO"</f>
        <v>TEC INDUSTRIAL ESPECIALIZADO</v>
      </c>
      <c r="D722" s="5">
        <v>200</v>
      </c>
      <c r="E722" s="4" t="str">
        <f t="shared" si="58"/>
        <v>Funcionário</v>
      </c>
    </row>
    <row r="723" spans="1:5">
      <c r="A723" s="4" t="str">
        <f t="shared" si="53"/>
        <v>2</v>
      </c>
      <c r="B723" s="4" t="str">
        <f>"RAFAELE LOPES FACHINETTO"</f>
        <v>RAFAELE LOPES FACHINETTO</v>
      </c>
      <c r="C723" s="4" t="str">
        <f>"ANALISTA ESPECIALIZADO"</f>
        <v>ANALISTA ESPECIALIZADO</v>
      </c>
      <c r="D723" s="5">
        <v>200</v>
      </c>
      <c r="E723" s="4" t="str">
        <f t="shared" si="58"/>
        <v>Funcionário</v>
      </c>
    </row>
    <row r="724" spans="1:5">
      <c r="A724" s="4" t="str">
        <f t="shared" si="53"/>
        <v>2</v>
      </c>
      <c r="B724" s="4" t="str">
        <f>"RAMON GUERRA RIBEIRO FURTADO"</f>
        <v>RAMON GUERRA RIBEIRO FURTADO</v>
      </c>
      <c r="C724" s="4" t="str">
        <f>"ANALISTA ESPECIALIZADO"</f>
        <v>ANALISTA ESPECIALIZADO</v>
      </c>
      <c r="D724" s="5">
        <v>200</v>
      </c>
      <c r="E724" s="4" t="str">
        <f t="shared" si="58"/>
        <v>Funcionário</v>
      </c>
    </row>
    <row r="725" spans="1:5">
      <c r="A725" s="4" t="str">
        <f t="shared" si="53"/>
        <v>2</v>
      </c>
      <c r="B725" s="4" t="str">
        <f>"RAPHAEL MARINHO DA SILVA"</f>
        <v>RAPHAEL MARINHO DA SILVA</v>
      </c>
      <c r="C725" s="4" t="str">
        <f>"TECNICO ADM ESPECIALIZADO"</f>
        <v>TECNICO ADM ESPECIALIZADO</v>
      </c>
      <c r="D725" s="5">
        <v>200</v>
      </c>
      <c r="E725" s="4" t="str">
        <f t="shared" si="58"/>
        <v>Funcionário</v>
      </c>
    </row>
    <row r="726" spans="1:5">
      <c r="A726" s="4" t="str">
        <f t="shared" si="53"/>
        <v>2</v>
      </c>
      <c r="B726" s="4" t="str">
        <f>"RAQUEL CRISTINA OLIVEIRA"</f>
        <v>RAQUEL CRISTINA OLIVEIRA</v>
      </c>
      <c r="C726" s="4" t="str">
        <f>"OFICIAL DE PRODUCAO INDUSTRIAL"</f>
        <v>OFICIAL DE PRODUCAO INDUSTRIAL</v>
      </c>
      <c r="D726" s="5">
        <v>200</v>
      </c>
      <c r="E726" s="4" t="str">
        <f t="shared" si="58"/>
        <v>Funcionário</v>
      </c>
    </row>
    <row r="727" spans="1:5">
      <c r="A727" s="4" t="str">
        <f t="shared" ref="A727:A794" si="59">"2"</f>
        <v>2</v>
      </c>
      <c r="B727" s="4" t="str">
        <f>"RAQUEL DO NASCIMENTO ABREU"</f>
        <v>RAQUEL DO NASCIMENTO ABREU</v>
      </c>
      <c r="C727" s="4" t="str">
        <f>"OFICIAL DE PRODUCAO INDUSTRIAL"</f>
        <v>OFICIAL DE PRODUCAO INDUSTRIAL</v>
      </c>
      <c r="D727" s="5">
        <v>200</v>
      </c>
      <c r="E727" s="4" t="str">
        <f t="shared" si="58"/>
        <v>Funcionário</v>
      </c>
    </row>
    <row r="728" spans="1:5">
      <c r="A728" s="4" t="str">
        <f t="shared" si="59"/>
        <v>2</v>
      </c>
      <c r="B728" s="4" t="str">
        <f>"RENATO MITRANO PERAZZINI"</f>
        <v>RENATO MITRANO PERAZZINI</v>
      </c>
      <c r="C728" s="4" t="str">
        <f>"CHEFE DE UNIDADE II"</f>
        <v>CHEFE DE UNIDADE II</v>
      </c>
      <c r="D728" s="5">
        <v>201</v>
      </c>
      <c r="E728" s="4" t="str">
        <f t="shared" si="58"/>
        <v>Funcionário</v>
      </c>
    </row>
    <row r="729" spans="1:5">
      <c r="A729" s="4" t="str">
        <f t="shared" si="59"/>
        <v>2</v>
      </c>
      <c r="B729" s="4" t="str">
        <f>"RHUAN PABLO LOURENÇO FERNANDES"</f>
        <v>RHUAN PABLO LOURENÇO FERNANDES</v>
      </c>
      <c r="C729" s="4" t="str">
        <f>"OFICIAL DE PRODUCAO INDUSTRIAL"</f>
        <v>OFICIAL DE PRODUCAO INDUSTRIAL</v>
      </c>
      <c r="D729" s="5">
        <v>200</v>
      </c>
      <c r="E729" s="4" t="str">
        <f t="shared" si="58"/>
        <v>Funcionário</v>
      </c>
    </row>
    <row r="730" spans="1:5">
      <c r="A730" s="4" t="str">
        <f t="shared" si="59"/>
        <v>2</v>
      </c>
      <c r="B730" s="4" t="str">
        <f>"RICARDO LUIZ DE SOUZA"</f>
        <v>RICARDO LUIZ DE SOUZA</v>
      </c>
      <c r="C730" s="4" t="str">
        <f>"TECNICO ADM ESPECIALIZADO"</f>
        <v>TECNICO ADM ESPECIALIZADO</v>
      </c>
      <c r="D730" s="5">
        <v>200</v>
      </c>
      <c r="E730" s="4" t="str">
        <f>"Aposentado"</f>
        <v>Aposentado</v>
      </c>
    </row>
    <row r="731" spans="1:5">
      <c r="A731" s="4" t="str">
        <f t="shared" si="59"/>
        <v>2</v>
      </c>
      <c r="B731" s="4" t="str">
        <f>"ROBERT WILLIAM DA SILVA"</f>
        <v>ROBERT WILLIAM DA SILVA</v>
      </c>
      <c r="C731" s="4" t="str">
        <f>"TEC INDUSTRIAL ESPECIALIZADO"</f>
        <v>TEC INDUSTRIAL ESPECIALIZADO</v>
      </c>
      <c r="D731" s="5">
        <v>200</v>
      </c>
      <c r="E731" s="4" t="str">
        <f t="shared" ref="E731:E738" si="60">"Funcionário"</f>
        <v>Funcionário</v>
      </c>
    </row>
    <row r="732" spans="1:5">
      <c r="A732" s="4" t="str">
        <f t="shared" si="59"/>
        <v>2</v>
      </c>
      <c r="B732" s="4" t="str">
        <f>"ROBERTA COELHO SCARABUCCI"</f>
        <v>ROBERTA COELHO SCARABUCCI</v>
      </c>
      <c r="C732" s="4" t="str">
        <f>"AUX TECNICO ADMINISTRATIVO"</f>
        <v>AUX TECNICO ADMINISTRATIVO</v>
      </c>
      <c r="D732" s="5">
        <v>200</v>
      </c>
      <c r="E732" s="4" t="str">
        <f t="shared" si="60"/>
        <v>Funcionário</v>
      </c>
    </row>
    <row r="733" spans="1:5">
      <c r="A733" s="4" t="str">
        <f t="shared" si="59"/>
        <v>2</v>
      </c>
      <c r="B733" s="4" t="str">
        <f>"ROBERTO CARLOS ZANCANELA"</f>
        <v>ROBERTO CARLOS ZANCANELA</v>
      </c>
      <c r="C733" s="4" t="str">
        <f>"OF FERRAMENTARIA INDUSTRIAL"</f>
        <v>OF FERRAMENTARIA INDUSTRIAL</v>
      </c>
      <c r="D733" s="5">
        <v>200</v>
      </c>
      <c r="E733" s="4" t="str">
        <f t="shared" si="60"/>
        <v>Funcionário</v>
      </c>
    </row>
    <row r="734" spans="1:5">
      <c r="A734" s="4" t="str">
        <f t="shared" si="59"/>
        <v>2</v>
      </c>
      <c r="B734" s="4" t="str">
        <f>"ROBERTO PEDRO JARDIM DE ANDRADE LOPES"</f>
        <v>ROBERTO PEDRO JARDIM DE ANDRADE LOPES</v>
      </c>
      <c r="C734" s="4" t="str">
        <f>"TEC INDUSTRIAL ESPECIALIZADO"</f>
        <v>TEC INDUSTRIAL ESPECIALIZADO</v>
      </c>
      <c r="D734" s="5">
        <v>200</v>
      </c>
      <c r="E734" s="4" t="str">
        <f t="shared" si="60"/>
        <v>Funcionário</v>
      </c>
    </row>
    <row r="735" spans="1:5">
      <c r="A735" s="4" t="str">
        <f t="shared" si="59"/>
        <v>2</v>
      </c>
      <c r="B735" s="4" t="str">
        <f>"ROBSON JOSE PINTO"</f>
        <v>ROBSON JOSE PINTO</v>
      </c>
      <c r="C735" s="4" t="str">
        <f>"OFICIAL DE PRODUCAO INDUSTRIAL"</f>
        <v>OFICIAL DE PRODUCAO INDUSTRIAL</v>
      </c>
      <c r="D735" s="5">
        <v>200</v>
      </c>
      <c r="E735" s="4" t="str">
        <f t="shared" si="60"/>
        <v>Funcionário</v>
      </c>
    </row>
    <row r="736" spans="1:5">
      <c r="A736" s="4" t="str">
        <f t="shared" si="59"/>
        <v>2</v>
      </c>
      <c r="B736" s="4" t="str">
        <f>"RODOLFO AGUIAR CAMPOS"</f>
        <v>RODOLFO AGUIAR CAMPOS</v>
      </c>
      <c r="C736" s="4" t="str">
        <f>"TECNICO ADM ESPECIALIZADO"</f>
        <v>TECNICO ADM ESPECIALIZADO</v>
      </c>
      <c r="D736" s="5">
        <v>200</v>
      </c>
      <c r="E736" s="4" t="str">
        <f t="shared" si="60"/>
        <v>Funcionário</v>
      </c>
    </row>
    <row r="737" spans="1:5">
      <c r="A737" s="4" t="str">
        <f t="shared" si="59"/>
        <v>2</v>
      </c>
      <c r="B737" s="4" t="str">
        <f>"RODRIGO DA SILVA OLIVEIRA"</f>
        <v>RODRIGO DA SILVA OLIVEIRA</v>
      </c>
      <c r="C737" s="4" t="str">
        <f>"TEC INDUSTRIAL ESPECIALIZADO"</f>
        <v>TEC INDUSTRIAL ESPECIALIZADO</v>
      </c>
      <c r="D737" s="5">
        <v>200</v>
      </c>
      <c r="E737" s="4" t="str">
        <f t="shared" si="60"/>
        <v>Funcionário</v>
      </c>
    </row>
    <row r="738" spans="1:5">
      <c r="A738" s="4" t="str">
        <f t="shared" si="59"/>
        <v>2</v>
      </c>
      <c r="B738" s="4" t="str">
        <f>"ROGERIO DE SOUZA VASCONCELOS"</f>
        <v>ROGERIO DE SOUZA VASCONCELOS</v>
      </c>
      <c r="C738" s="4" t="str">
        <f>"AUX TECNICO ADMINISTRATIVO"</f>
        <v>AUX TECNICO ADMINISTRATIVO</v>
      </c>
      <c r="D738" s="5">
        <v>200</v>
      </c>
      <c r="E738" s="4" t="str">
        <f t="shared" si="60"/>
        <v>Funcionário</v>
      </c>
    </row>
    <row r="739" spans="1:5">
      <c r="A739" s="4" t="str">
        <f t="shared" si="59"/>
        <v>2</v>
      </c>
      <c r="B739" s="4" t="str">
        <f>"ROGERIO LUIZ DE FRANCA"</f>
        <v>ROGERIO LUIZ DE FRANCA</v>
      </c>
      <c r="C739" s="4" t="str">
        <f>"OFICIAL DE PRODUCAO INDUSTRIAL"</f>
        <v>OFICIAL DE PRODUCAO INDUSTRIAL</v>
      </c>
      <c r="D739" s="5">
        <v>200</v>
      </c>
      <c r="E739" s="4" t="str">
        <f>"Aposentado"</f>
        <v>Aposentado</v>
      </c>
    </row>
    <row r="740" spans="1:5">
      <c r="A740" s="4" t="str">
        <f t="shared" si="59"/>
        <v>2</v>
      </c>
      <c r="B740" s="4" t="str">
        <f>"ROGERIO MATEUS DA SILVA"</f>
        <v>ROGERIO MATEUS DA SILVA</v>
      </c>
      <c r="C740" s="4" t="str">
        <f>"AUXILIAR TECNICO INDUSTRIAL"</f>
        <v>AUXILIAR TECNICO INDUSTRIAL</v>
      </c>
      <c r="D740" s="5">
        <v>200</v>
      </c>
      <c r="E740" s="4" t="str">
        <f t="shared" ref="E740:E750" si="61">"Funcionário"</f>
        <v>Funcionário</v>
      </c>
    </row>
    <row r="741" spans="1:5">
      <c r="A741" s="4" t="str">
        <f t="shared" si="59"/>
        <v>2</v>
      </c>
      <c r="B741" s="4" t="str">
        <f>"ROGERIO MIGUEL"</f>
        <v>ROGERIO MIGUEL</v>
      </c>
      <c r="C741" s="4" t="str">
        <f>"OPER PRODUCAO III"</f>
        <v>OPER PRODUCAO III</v>
      </c>
      <c r="D741" s="5">
        <v>200</v>
      </c>
      <c r="E741" s="4" t="str">
        <f t="shared" si="61"/>
        <v>Funcionário</v>
      </c>
    </row>
    <row r="742" spans="1:5">
      <c r="A742" s="4" t="str">
        <f t="shared" si="59"/>
        <v>2</v>
      </c>
      <c r="B742" s="4" t="str">
        <f>"RÔMULO ANTÔNIO MARTINS MONTEIRO"</f>
        <v>RÔMULO ANTÔNIO MARTINS MONTEIRO</v>
      </c>
      <c r="C742" s="4" t="str">
        <f>"ANALISTA ESPECIALIZADO"</f>
        <v>ANALISTA ESPECIALIZADO</v>
      </c>
      <c r="D742" s="5">
        <v>200</v>
      </c>
      <c r="E742" s="4" t="str">
        <f t="shared" si="61"/>
        <v>Funcionário</v>
      </c>
    </row>
    <row r="743" spans="1:5">
      <c r="A743" s="4" t="str">
        <f t="shared" si="59"/>
        <v>2</v>
      </c>
      <c r="B743" s="4" t="str">
        <f>"RÔMULO MAGRINI BOTELHO"</f>
        <v>RÔMULO MAGRINI BOTELHO</v>
      </c>
      <c r="C743" s="4" t="str">
        <f>"TEC INDUSTRIAL ESPECIALIZADO"</f>
        <v>TEC INDUSTRIAL ESPECIALIZADO</v>
      </c>
      <c r="D743" s="5">
        <v>200</v>
      </c>
      <c r="E743" s="4" t="str">
        <f t="shared" si="61"/>
        <v>Funcionário</v>
      </c>
    </row>
    <row r="744" spans="1:5">
      <c r="A744" s="4" t="str">
        <f t="shared" si="59"/>
        <v>2</v>
      </c>
      <c r="B744" s="4" t="str">
        <f>"RONALDO SOARES FERREIRA"</f>
        <v>RONALDO SOARES FERREIRA</v>
      </c>
      <c r="C744" s="4" t="str">
        <f>"OFICIAL DE PRODUCAO INDUSTRIAL"</f>
        <v>OFICIAL DE PRODUCAO INDUSTRIAL</v>
      </c>
      <c r="D744" s="5">
        <v>200</v>
      </c>
      <c r="E744" s="4" t="str">
        <f t="shared" si="61"/>
        <v>Funcionário</v>
      </c>
    </row>
    <row r="745" spans="1:5">
      <c r="A745" s="4" t="str">
        <f t="shared" si="59"/>
        <v>2</v>
      </c>
      <c r="B745" s="4" t="str">
        <f>"ROSA HELENA BELO DE OLIVEIRA"</f>
        <v>ROSA HELENA BELO DE OLIVEIRA</v>
      </c>
      <c r="C745" s="4" t="str">
        <f>"OFICIAL DE PRODUCAO INDUSTRIAL"</f>
        <v>OFICIAL DE PRODUCAO INDUSTRIAL</v>
      </c>
      <c r="D745" s="5">
        <v>200</v>
      </c>
      <c r="E745" s="4" t="str">
        <f t="shared" si="61"/>
        <v>Funcionário</v>
      </c>
    </row>
    <row r="746" spans="1:5">
      <c r="A746" s="4" t="str">
        <f t="shared" si="59"/>
        <v>2</v>
      </c>
      <c r="B746" s="4" t="str">
        <f>"ROSANA D AVILA MANSO DE OLIVEIRA"</f>
        <v>ROSANA D AVILA MANSO DE OLIVEIRA</v>
      </c>
      <c r="C746" s="4" t="str">
        <f>"ESPECIALISTA"</f>
        <v>ESPECIALISTA</v>
      </c>
      <c r="D746" s="5">
        <v>200</v>
      </c>
      <c r="E746" s="4" t="str">
        <f t="shared" si="61"/>
        <v>Funcionário</v>
      </c>
    </row>
    <row r="747" spans="1:5">
      <c r="A747" s="4" t="str">
        <f t="shared" si="59"/>
        <v>2</v>
      </c>
      <c r="B747" s="4" t="str">
        <f>"ROSELENE TAVARES DO PRADO"</f>
        <v>ROSELENE TAVARES DO PRADO</v>
      </c>
      <c r="C747" s="4" t="str">
        <f>"TEC INDUSTRIAL ESPECIALIZADO"</f>
        <v>TEC INDUSTRIAL ESPECIALIZADO</v>
      </c>
      <c r="D747" s="5">
        <v>200</v>
      </c>
      <c r="E747" s="4" t="str">
        <f t="shared" si="61"/>
        <v>Funcionário</v>
      </c>
    </row>
    <row r="748" spans="1:5">
      <c r="A748" s="4" t="str">
        <f t="shared" si="59"/>
        <v>2</v>
      </c>
      <c r="B748" s="4" t="str">
        <f>"ROSIANE APARECIDA DE OLIVEIRA"</f>
        <v>ROSIANE APARECIDA DE OLIVEIRA</v>
      </c>
      <c r="C748" s="4" t="str">
        <f>"TECNICO ADM ESPECIALIZADO"</f>
        <v>TECNICO ADM ESPECIALIZADO</v>
      </c>
      <c r="D748" s="5">
        <v>200</v>
      </c>
      <c r="E748" s="4" t="str">
        <f t="shared" si="61"/>
        <v>Funcionário</v>
      </c>
    </row>
    <row r="749" spans="1:5">
      <c r="A749" s="4" t="str">
        <f t="shared" si="59"/>
        <v>2</v>
      </c>
      <c r="B749" s="4" t="str">
        <f>"SAMANTHA CRISTINA DOS ANJOS DA PAZ"</f>
        <v>SAMANTHA CRISTINA DOS ANJOS DA PAZ</v>
      </c>
      <c r="C749" s="4" t="str">
        <f>"OFICIAL DE PRODUCAO INDUSTRIAL"</f>
        <v>OFICIAL DE PRODUCAO INDUSTRIAL</v>
      </c>
      <c r="D749" s="5">
        <v>200</v>
      </c>
      <c r="E749" s="4" t="str">
        <f t="shared" si="61"/>
        <v>Funcionário</v>
      </c>
    </row>
    <row r="750" spans="1:5">
      <c r="A750" s="4" t="str">
        <f t="shared" si="59"/>
        <v>2</v>
      </c>
      <c r="B750" s="4" t="str">
        <f>"SAMUEL ERNANDES FRANCO MATOS"</f>
        <v>SAMUEL ERNANDES FRANCO MATOS</v>
      </c>
      <c r="C750" s="4" t="str">
        <f>"TEC INDUSTRIAL ESPECIALIZADO"</f>
        <v>TEC INDUSTRIAL ESPECIALIZADO</v>
      </c>
      <c r="D750" s="5">
        <v>200</v>
      </c>
      <c r="E750" s="4" t="str">
        <f t="shared" si="61"/>
        <v>Funcionário</v>
      </c>
    </row>
    <row r="751" spans="1:5">
      <c r="A751" s="4" t="str">
        <f t="shared" si="59"/>
        <v>2</v>
      </c>
      <c r="B751" s="4" t="str">
        <f>"SANDRA MARIA LUIZA VICENTINI MANCINI"</f>
        <v>SANDRA MARIA LUIZA VICENTINI MANCINI</v>
      </c>
      <c r="C751" s="4" t="str">
        <f>"AUX TECNICO ADMINISTRATIVO"</f>
        <v>AUX TECNICO ADMINISTRATIVO</v>
      </c>
      <c r="D751" s="5">
        <v>200</v>
      </c>
      <c r="E751" s="4" t="str">
        <f>"Aposentado"</f>
        <v>Aposentado</v>
      </c>
    </row>
    <row r="752" spans="1:5">
      <c r="A752" s="4" t="str">
        <f t="shared" si="59"/>
        <v>2</v>
      </c>
      <c r="B752" s="4" t="str">
        <f>"SEBASTIAO CARLOS DO NASCIMENTO"</f>
        <v>SEBASTIAO CARLOS DO NASCIMENTO</v>
      </c>
      <c r="C752" s="4" t="str">
        <f>"OFICIAL DE PRODUCAO INDUSTRIAL"</f>
        <v>OFICIAL DE PRODUCAO INDUSTRIAL</v>
      </c>
      <c r="D752" s="5">
        <v>200</v>
      </c>
      <c r="E752" s="4" t="str">
        <f>"Funcionário"</f>
        <v>Funcionário</v>
      </c>
    </row>
    <row r="753" spans="1:5">
      <c r="A753" s="4" t="str">
        <f t="shared" si="59"/>
        <v>2</v>
      </c>
      <c r="B753" s="4" t="str">
        <f>"SEBASTIAO CELIO DA COSTA"</f>
        <v>SEBASTIAO CELIO DA COSTA</v>
      </c>
      <c r="C753" s="4" t="str">
        <f>"OF FERRAMENTARIA INDUSTRIAL"</f>
        <v>OF FERRAMENTARIA INDUSTRIAL</v>
      </c>
      <c r="D753" s="5">
        <v>200</v>
      </c>
      <c r="E753" s="4" t="str">
        <f>"Aposentado"</f>
        <v>Aposentado</v>
      </c>
    </row>
    <row r="754" spans="1:5">
      <c r="A754" s="4" t="str">
        <f t="shared" si="59"/>
        <v>2</v>
      </c>
      <c r="B754" s="4" t="str">
        <f>"SÉRGIO DE PAULA"</f>
        <v>SÉRGIO DE PAULA</v>
      </c>
      <c r="C754" s="4" t="str">
        <f>"OFICIAL DE PRODUCAO INDUSTRIAL"</f>
        <v>OFICIAL DE PRODUCAO INDUSTRIAL</v>
      </c>
      <c r="D754" s="5">
        <v>200</v>
      </c>
      <c r="E754" s="4" t="str">
        <f>"Funcionário"</f>
        <v>Funcionário</v>
      </c>
    </row>
    <row r="755" spans="1:5">
      <c r="A755" s="4" t="str">
        <f t="shared" si="59"/>
        <v>2</v>
      </c>
      <c r="B755" s="4" t="str">
        <f>"SERGIO RODRIGUES MAIA"</f>
        <v>SERGIO RODRIGUES MAIA</v>
      </c>
      <c r="C755" s="4" t="str">
        <f>"TEC INDUSTRIAL ESPECIALIZADO"</f>
        <v>TEC INDUSTRIAL ESPECIALIZADO</v>
      </c>
      <c r="D755" s="5">
        <v>200</v>
      </c>
      <c r="E755" s="4" t="str">
        <f>"Funcionário"</f>
        <v>Funcionário</v>
      </c>
    </row>
    <row r="756" spans="1:5">
      <c r="A756" s="4" t="str">
        <f t="shared" si="59"/>
        <v>2</v>
      </c>
      <c r="B756" s="4" t="str">
        <f>"SILVIO CESAR LOPES NETTO"</f>
        <v>SILVIO CESAR LOPES NETTO</v>
      </c>
      <c r="C756" s="4" t="str">
        <f>"AUX TECNICO ADMINISTRATIVO"</f>
        <v>AUX TECNICO ADMINISTRATIVO</v>
      </c>
      <c r="D756" s="5">
        <v>200</v>
      </c>
      <c r="E756" s="4" t="str">
        <f>"Funcionário"</f>
        <v>Funcionário</v>
      </c>
    </row>
    <row r="757" spans="1:5">
      <c r="A757" s="4" t="str">
        <f t="shared" si="59"/>
        <v>2</v>
      </c>
      <c r="B757" s="4" t="str">
        <f>"SOLANGE MARIZA CUSTODIO DIAS"</f>
        <v>SOLANGE MARIZA CUSTODIO DIAS</v>
      </c>
      <c r="C757" s="4" t="str">
        <f>"AUX TECNICO ADMINISTRATIVO"</f>
        <v>AUX TECNICO ADMINISTRATIVO</v>
      </c>
      <c r="D757" s="5">
        <v>200</v>
      </c>
      <c r="E757" s="4" t="str">
        <f>"Aposentado"</f>
        <v>Aposentado</v>
      </c>
    </row>
    <row r="758" spans="1:5">
      <c r="A758" s="4" t="str">
        <f t="shared" si="59"/>
        <v>2</v>
      </c>
      <c r="B758" s="4" t="str">
        <f>"TARCÍSIO DE SOUZA SILVA"</f>
        <v>TARCÍSIO DE SOUZA SILVA</v>
      </c>
      <c r="C758" s="4" t="str">
        <f>"OFICIAL DE PRODUCAO INDUSTRIAL"</f>
        <v>OFICIAL DE PRODUCAO INDUSTRIAL</v>
      </c>
      <c r="D758" s="5">
        <v>200</v>
      </c>
      <c r="E758" s="4" t="str">
        <f t="shared" ref="E758:E763" si="62">"Funcionário"</f>
        <v>Funcionário</v>
      </c>
    </row>
    <row r="759" spans="1:5">
      <c r="A759" s="4" t="str">
        <f t="shared" si="59"/>
        <v>2</v>
      </c>
      <c r="B759" s="4" t="str">
        <f>"THIAGO DA SILVA MENDES"</f>
        <v>THIAGO DA SILVA MENDES</v>
      </c>
      <c r="C759" s="4" t="str">
        <f>"OFICIAL DE PRODUCAO INDUSTRIAL"</f>
        <v>OFICIAL DE PRODUCAO INDUSTRIAL</v>
      </c>
      <c r="D759" s="5">
        <v>200</v>
      </c>
      <c r="E759" s="4" t="str">
        <f t="shared" si="62"/>
        <v>Funcionário</v>
      </c>
    </row>
    <row r="760" spans="1:5">
      <c r="A760" s="4" t="str">
        <f t="shared" si="59"/>
        <v>2</v>
      </c>
      <c r="B760" s="4" t="str">
        <f>"THIAGO TONELLI SILVEIRA ESTEVES DE OLIVE"</f>
        <v>THIAGO TONELLI SILVEIRA ESTEVES DE OLIVE</v>
      </c>
      <c r="C760" s="4" t="str">
        <f>"ESPECIALISTA"</f>
        <v>ESPECIALISTA</v>
      </c>
      <c r="D760" s="5">
        <v>200</v>
      </c>
      <c r="E760" s="4" t="str">
        <f t="shared" si="62"/>
        <v>Funcionário</v>
      </c>
    </row>
    <row r="761" spans="1:5">
      <c r="A761" s="4" t="str">
        <f t="shared" si="59"/>
        <v>2</v>
      </c>
      <c r="B761" s="4" t="str">
        <f>"TIAGO ANTONIO RIBEIRO"</f>
        <v>TIAGO ANTONIO RIBEIRO</v>
      </c>
      <c r="C761" s="4" t="str">
        <f>"AUX TECNICO ADMINISTRATIVO"</f>
        <v>AUX TECNICO ADMINISTRATIVO</v>
      </c>
      <c r="D761" s="5">
        <v>200</v>
      </c>
      <c r="E761" s="4" t="str">
        <f t="shared" si="62"/>
        <v>Funcionário</v>
      </c>
    </row>
    <row r="762" spans="1:5">
      <c r="A762" s="4" t="str">
        <f t="shared" si="59"/>
        <v>2</v>
      </c>
      <c r="B762" s="4" t="str">
        <f>"UIARA BORGES SILVA PEREIRA"</f>
        <v>UIARA BORGES SILVA PEREIRA</v>
      </c>
      <c r="C762" s="4" t="str">
        <f>"TEC INDUSTRIAL ESPECIALIZADO"</f>
        <v>TEC INDUSTRIAL ESPECIALIZADO</v>
      </c>
      <c r="D762" s="5">
        <v>200</v>
      </c>
      <c r="E762" s="4" t="str">
        <f t="shared" si="62"/>
        <v>Funcionário</v>
      </c>
    </row>
    <row r="763" spans="1:5">
      <c r="A763" s="4" t="str">
        <f t="shared" si="59"/>
        <v>2</v>
      </c>
      <c r="B763" s="4" t="str">
        <f>"ULIANE BRAZOLINO SILVA"</f>
        <v>ULIANE BRAZOLINO SILVA</v>
      </c>
      <c r="C763" s="4" t="str">
        <f>"TEC INDUSTRIAL ESPECIALIZADO"</f>
        <v>TEC INDUSTRIAL ESPECIALIZADO</v>
      </c>
      <c r="D763" s="5">
        <v>200</v>
      </c>
      <c r="E763" s="4" t="str">
        <f t="shared" si="62"/>
        <v>Funcionário</v>
      </c>
    </row>
    <row r="764" spans="1:5">
      <c r="A764" s="4" t="str">
        <f t="shared" si="59"/>
        <v>2</v>
      </c>
      <c r="B764" s="4" t="str">
        <f>"VALDINEIA DA SILVA CARDOSO"</f>
        <v>VALDINEIA DA SILVA CARDOSO</v>
      </c>
      <c r="C764" s="4" t="str">
        <f>"AGENTE DE APOIO OPERACIONAL"</f>
        <v>AGENTE DE APOIO OPERACIONAL</v>
      </c>
      <c r="D764" s="5">
        <v>200</v>
      </c>
      <c r="E764" s="4" t="str">
        <f>"Aposentado"</f>
        <v>Aposentado</v>
      </c>
    </row>
    <row r="765" spans="1:5">
      <c r="A765" s="4" t="str">
        <f t="shared" si="59"/>
        <v>2</v>
      </c>
      <c r="B765" s="4" t="str">
        <f>"VALDIR SEBASTIAO DOS REIS"</f>
        <v>VALDIR SEBASTIAO DOS REIS</v>
      </c>
      <c r="C765" s="4" t="str">
        <f>"AGENTE DE APOIO OPERACIONAL"</f>
        <v>AGENTE DE APOIO OPERACIONAL</v>
      </c>
      <c r="D765" s="5">
        <v>200</v>
      </c>
      <c r="E765" s="4" t="str">
        <f>"Aposentado"</f>
        <v>Aposentado</v>
      </c>
    </row>
    <row r="766" spans="1:5">
      <c r="A766" s="4" t="str">
        <f t="shared" si="59"/>
        <v>2</v>
      </c>
      <c r="B766" s="4" t="str">
        <f>"VALERIA TONIONE FERNANDES PEREIRA"</f>
        <v>VALERIA TONIONE FERNANDES PEREIRA</v>
      </c>
      <c r="C766" s="4" t="str">
        <f>"AUX TECNICO ADMINISTRATIVO"</f>
        <v>AUX TECNICO ADMINISTRATIVO</v>
      </c>
      <c r="D766" s="5">
        <v>200</v>
      </c>
      <c r="E766" s="4" t="str">
        <f>"Aposentado"</f>
        <v>Aposentado</v>
      </c>
    </row>
    <row r="767" spans="1:5">
      <c r="A767" s="4" t="str">
        <f t="shared" si="59"/>
        <v>2</v>
      </c>
      <c r="B767" s="4" t="str">
        <f>"VANESSA GARCIA BERNARDO SILVA"</f>
        <v>VANESSA GARCIA BERNARDO SILVA</v>
      </c>
      <c r="C767" s="4" t="str">
        <f>"ANALISTA ESPECIALIZADO"</f>
        <v>ANALISTA ESPECIALIZADO</v>
      </c>
      <c r="D767" s="5">
        <v>200</v>
      </c>
      <c r="E767" s="4" t="str">
        <f>"Funcionário"</f>
        <v>Funcionário</v>
      </c>
    </row>
    <row r="768" spans="1:5">
      <c r="A768" s="4" t="str">
        <f t="shared" si="59"/>
        <v>2</v>
      </c>
      <c r="B768" s="4" t="str">
        <f>"VANESSA OTONI NOGUEIRA"</f>
        <v>VANESSA OTONI NOGUEIRA</v>
      </c>
      <c r="C768" s="4" t="str">
        <f>"ENGENHEIRO"</f>
        <v>ENGENHEIRO</v>
      </c>
      <c r="D768" s="5">
        <v>200</v>
      </c>
      <c r="E768" s="4" t="str">
        <f>"Funcionário"</f>
        <v>Funcionário</v>
      </c>
    </row>
    <row r="769" spans="1:5">
      <c r="A769" s="4" t="str">
        <f t="shared" si="59"/>
        <v>2</v>
      </c>
      <c r="B769" s="4" t="str">
        <f>"VANESSA PEDROZA HONORIO"</f>
        <v>VANESSA PEDROZA HONORIO</v>
      </c>
      <c r="C769" s="4" t="str">
        <f>"APRENDIZ- PRODUÇÃO"</f>
        <v>APRENDIZ- PRODUÇÃO</v>
      </c>
      <c r="D769" s="5">
        <v>36</v>
      </c>
      <c r="E769" s="4" t="str">
        <f>"Aprendiz"</f>
        <v>Aprendiz</v>
      </c>
    </row>
    <row r="770" spans="1:5">
      <c r="A770" s="4" t="str">
        <f t="shared" si="59"/>
        <v>2</v>
      </c>
      <c r="B770" s="4" t="str">
        <f>"VERA LUCIA GERALDO ALVES"</f>
        <v>VERA LUCIA GERALDO ALVES</v>
      </c>
      <c r="C770" s="4" t="str">
        <f>"OFICIAL DE PRODUCAO INDUSTRIAL"</f>
        <v>OFICIAL DE PRODUCAO INDUSTRIAL</v>
      </c>
      <c r="D770" s="5">
        <v>200</v>
      </c>
      <c r="E770" s="4" t="str">
        <f>"Aposentado"</f>
        <v>Aposentado</v>
      </c>
    </row>
    <row r="771" spans="1:5">
      <c r="A771" s="4" t="str">
        <f t="shared" si="59"/>
        <v>2</v>
      </c>
      <c r="B771" s="4" t="str">
        <f>"VERA LUCIA GERMANO CANIATO"</f>
        <v>VERA LUCIA GERMANO CANIATO</v>
      </c>
      <c r="C771" s="4" t="str">
        <f>"OPER PRODUCAO III"</f>
        <v>OPER PRODUCAO III</v>
      </c>
      <c r="D771" s="5">
        <v>200</v>
      </c>
      <c r="E771" s="4" t="str">
        <f t="shared" ref="E771:E776" si="63">"Funcionário"</f>
        <v>Funcionário</v>
      </c>
    </row>
    <row r="772" spans="1:5">
      <c r="A772" s="4" t="str">
        <f t="shared" si="59"/>
        <v>2</v>
      </c>
      <c r="B772" s="4" t="str">
        <f>"VICENTE PEDRO DE NASCO RONDON FILHO"</f>
        <v>VICENTE PEDRO DE NASCO RONDON FILHO</v>
      </c>
      <c r="C772" s="4" t="str">
        <f>"ADVOGADO"</f>
        <v>ADVOGADO</v>
      </c>
      <c r="D772" s="5">
        <v>204</v>
      </c>
      <c r="E772" s="4" t="str">
        <f t="shared" si="63"/>
        <v>Funcionário</v>
      </c>
    </row>
    <row r="773" spans="1:5">
      <c r="A773" s="4" t="str">
        <f t="shared" si="59"/>
        <v>2</v>
      </c>
      <c r="B773" s="4" t="str">
        <f>"VINICIUS ABNER DE OLIVEIRA NASCIMENTO"</f>
        <v>VINICIUS ABNER DE OLIVEIRA NASCIMENTO</v>
      </c>
      <c r="C773" s="4" t="str">
        <f>"OFICIAL DE PRODUCAO INDUSTRIAL"</f>
        <v>OFICIAL DE PRODUCAO INDUSTRIAL</v>
      </c>
      <c r="D773" s="5">
        <v>200</v>
      </c>
      <c r="E773" s="4" t="str">
        <f t="shared" si="63"/>
        <v>Funcionário</v>
      </c>
    </row>
    <row r="774" spans="1:5">
      <c r="A774" s="4" t="str">
        <f t="shared" si="59"/>
        <v>2</v>
      </c>
      <c r="B774" s="4" t="str">
        <f>"VINICIUS MOTTA DE OLIVEIRA"</f>
        <v>VINICIUS MOTTA DE OLIVEIRA</v>
      </c>
      <c r="C774" s="4" t="str">
        <f>"MILITAR DA ATIVA"</f>
        <v>MILITAR DA ATIVA</v>
      </c>
      <c r="D774" s="5">
        <v>205</v>
      </c>
      <c r="E774" s="4" t="str">
        <f t="shared" si="63"/>
        <v>Funcionário</v>
      </c>
    </row>
    <row r="775" spans="1:5">
      <c r="A775" s="4" t="str">
        <f t="shared" si="59"/>
        <v>2</v>
      </c>
      <c r="B775" s="4" t="str">
        <f>"VINICIUS NOVAIS DE FARIA"</f>
        <v>VINICIUS NOVAIS DE FARIA</v>
      </c>
      <c r="C775" s="4" t="str">
        <f>"ANALISTA ESPECIALIZADO"</f>
        <v>ANALISTA ESPECIALIZADO</v>
      </c>
      <c r="D775" s="5">
        <v>200</v>
      </c>
      <c r="E775" s="4" t="str">
        <f t="shared" si="63"/>
        <v>Funcionário</v>
      </c>
    </row>
    <row r="776" spans="1:5">
      <c r="A776" s="4" t="str">
        <f t="shared" si="59"/>
        <v>2</v>
      </c>
      <c r="B776" s="4" t="str">
        <f>"VINNÍCIUS  FERRAZ REIS DE SOUZA"</f>
        <v>VINNÍCIUS  FERRAZ REIS DE SOUZA</v>
      </c>
      <c r="C776" s="4" t="str">
        <f>"OFICIAL DE PRODUCAO INDUSTRIAL"</f>
        <v>OFICIAL DE PRODUCAO INDUSTRIAL</v>
      </c>
      <c r="D776" s="5">
        <v>200</v>
      </c>
      <c r="E776" s="4" t="str">
        <f t="shared" si="63"/>
        <v>Funcionário</v>
      </c>
    </row>
    <row r="777" spans="1:5">
      <c r="A777" s="4" t="str">
        <f t="shared" si="59"/>
        <v>2</v>
      </c>
      <c r="B777" s="4" t="str">
        <f>"VITORIA RODRIGUES BRANDAO"</f>
        <v>VITORIA RODRIGUES BRANDAO</v>
      </c>
      <c r="C777" s="4" t="str">
        <f>"APRENDIZ- PRODUÇÃO"</f>
        <v>APRENDIZ- PRODUÇÃO</v>
      </c>
      <c r="D777" s="5">
        <v>36</v>
      </c>
      <c r="E777" s="4" t="str">
        <f>"Aprendiz"</f>
        <v>Aprendiz</v>
      </c>
    </row>
    <row r="778" spans="1:5">
      <c r="A778" s="4" t="str">
        <f t="shared" si="59"/>
        <v>2</v>
      </c>
      <c r="B778" s="4" t="str">
        <f>"WALLACE LUIZ DO CARMO"</f>
        <v>WALLACE LUIZ DO CARMO</v>
      </c>
      <c r="C778" s="4" t="str">
        <f>"MOTORISTA DE CAMINHÃO ROTAS REGIONAI"</f>
        <v>MOTORISTA DE CAMINHÃO ROTAS REGIONAI</v>
      </c>
      <c r="D778" s="5">
        <v>206</v>
      </c>
      <c r="E778" s="4" t="str">
        <f>"Funcionário"</f>
        <v>Funcionário</v>
      </c>
    </row>
    <row r="779" spans="1:5">
      <c r="A779" s="4" t="str">
        <f t="shared" si="59"/>
        <v>2</v>
      </c>
      <c r="B779" s="4" t="str">
        <f>"WALLACE TINOCO ESTEVES"</f>
        <v>WALLACE TINOCO ESTEVES</v>
      </c>
      <c r="C779" s="4" t="str">
        <f>"MILITAR DA ATIVA"</f>
        <v>MILITAR DA ATIVA</v>
      </c>
      <c r="D779" s="5">
        <v>205</v>
      </c>
      <c r="E779" s="4" t="str">
        <f>"Funcionário"</f>
        <v>Funcionário</v>
      </c>
    </row>
    <row r="780" spans="1:5">
      <c r="A780" s="4" t="str">
        <f t="shared" si="59"/>
        <v>2</v>
      </c>
      <c r="B780" s="4" t="str">
        <f>"WASHINGTON MILANI"</f>
        <v>WASHINGTON MILANI</v>
      </c>
      <c r="C780" s="4" t="str">
        <f>"OFICIAL DE PRODUCAO INDUSTRIAL"</f>
        <v>OFICIAL DE PRODUCAO INDUSTRIAL</v>
      </c>
      <c r="D780" s="5">
        <v>200</v>
      </c>
      <c r="E780" s="4" t="str">
        <f>"Funcionário"</f>
        <v>Funcionário</v>
      </c>
    </row>
    <row r="781" spans="1:5">
      <c r="A781" s="4" t="str">
        <f t="shared" si="59"/>
        <v>2</v>
      </c>
      <c r="B781" s="4" t="str">
        <f>"WELBERT DA SILVA MIRANDA"</f>
        <v>WELBERT DA SILVA MIRANDA</v>
      </c>
      <c r="C781" s="4" t="str">
        <f>"OF FERRAMENTARIA INDUSTRIAL"</f>
        <v>OF FERRAMENTARIA INDUSTRIAL</v>
      </c>
      <c r="D781" s="5">
        <v>200</v>
      </c>
      <c r="E781" s="4" t="str">
        <f>"Funcionário"</f>
        <v>Funcionário</v>
      </c>
    </row>
    <row r="782" spans="1:5">
      <c r="A782" s="4" t="str">
        <f t="shared" si="59"/>
        <v>2</v>
      </c>
      <c r="B782" s="4" t="str">
        <f>"WELINGTON CRISTOPHER JAEGER"</f>
        <v>WELINGTON CRISTOPHER JAEGER</v>
      </c>
      <c r="C782" s="4" t="str">
        <f>"MILITAR DA ATIVA"</f>
        <v>MILITAR DA ATIVA</v>
      </c>
      <c r="D782" s="5">
        <v>205</v>
      </c>
      <c r="E782" s="4" t="str">
        <f>"Funcionário"</f>
        <v>Funcionário</v>
      </c>
    </row>
    <row r="783" spans="1:5">
      <c r="A783" s="4" t="str">
        <f t="shared" si="59"/>
        <v>2</v>
      </c>
      <c r="B783" s="4" t="str">
        <f>"WELLITON MATEUS FERREIRA"</f>
        <v>WELLITON MATEUS FERREIRA</v>
      </c>
      <c r="C783" s="4" t="str">
        <f>"Estagiario"</f>
        <v>Estagiario</v>
      </c>
      <c r="D783" s="5">
        <v>35</v>
      </c>
      <c r="E783" s="4" t="str">
        <f>"Estagiário"</f>
        <v>Estagiário</v>
      </c>
    </row>
    <row r="784" spans="1:5">
      <c r="A784" s="4" t="str">
        <f t="shared" si="59"/>
        <v>2</v>
      </c>
      <c r="B784" s="4" t="str">
        <f>"WENDEL DE AMOGLIA CAVASSA"</f>
        <v>WENDEL DE AMOGLIA CAVASSA</v>
      </c>
      <c r="C784" s="4" t="str">
        <f>"OFICIAL DE PRODUCAO INDUSTRIAL"</f>
        <v>OFICIAL DE PRODUCAO INDUSTRIAL</v>
      </c>
      <c r="D784" s="5">
        <v>200</v>
      </c>
      <c r="E784" s="4" t="str">
        <f t="shared" ref="E784:E795" si="64">"Funcionário"</f>
        <v>Funcionário</v>
      </c>
    </row>
    <row r="785" spans="1:5">
      <c r="A785" s="4" t="str">
        <f t="shared" si="59"/>
        <v>2</v>
      </c>
      <c r="B785" s="4" t="str">
        <f>"WESLEY WAGNER BARBETO SILVA"</f>
        <v>WESLEY WAGNER BARBETO SILVA</v>
      </c>
      <c r="C785" s="4" t="str">
        <f>"TEC INDUSTRIAL ESPECIALIZADO"</f>
        <v>TEC INDUSTRIAL ESPECIALIZADO</v>
      </c>
      <c r="D785" s="5">
        <v>200</v>
      </c>
      <c r="E785" s="4" t="str">
        <f t="shared" si="64"/>
        <v>Funcionário</v>
      </c>
    </row>
    <row r="786" spans="1:5">
      <c r="A786" s="4" t="str">
        <f t="shared" si="59"/>
        <v>2</v>
      </c>
      <c r="B786" s="4" t="str">
        <f>"WEVERTON DA CUNHA COELHO"</f>
        <v>WEVERTON DA CUNHA COELHO</v>
      </c>
      <c r="C786" s="4" t="str">
        <f>"AGENTE DE APOIO OPERACIONAL"</f>
        <v>AGENTE DE APOIO OPERACIONAL</v>
      </c>
      <c r="D786" s="5">
        <v>200</v>
      </c>
      <c r="E786" s="4" t="str">
        <f t="shared" si="64"/>
        <v>Funcionário</v>
      </c>
    </row>
    <row r="787" spans="1:5">
      <c r="A787" s="4" t="str">
        <f t="shared" si="59"/>
        <v>2</v>
      </c>
      <c r="B787" s="4" t="str">
        <f>"WILDER FELIPE PEDRETTI SILVA"</f>
        <v>WILDER FELIPE PEDRETTI SILVA</v>
      </c>
      <c r="C787" s="4" t="str">
        <f>"TEC INDUSTRIAL ESPECIALIZADO"</f>
        <v>TEC INDUSTRIAL ESPECIALIZADO</v>
      </c>
      <c r="D787" s="5">
        <v>200</v>
      </c>
      <c r="E787" s="4" t="str">
        <f t="shared" si="64"/>
        <v>Funcionário</v>
      </c>
    </row>
    <row r="788" spans="1:5">
      <c r="A788" s="4" t="str">
        <f t="shared" si="59"/>
        <v>2</v>
      </c>
      <c r="B788" s="4" t="str">
        <f>"WILLIAM DA COSTA FERNANDES"</f>
        <v>WILLIAM DA COSTA FERNANDES</v>
      </c>
      <c r="C788" s="4" t="str">
        <f>"BOMBEIRO CIVIL"</f>
        <v>BOMBEIRO CIVIL</v>
      </c>
      <c r="D788" s="5">
        <v>200</v>
      </c>
      <c r="E788" s="4" t="str">
        <f t="shared" si="64"/>
        <v>Funcionário</v>
      </c>
    </row>
    <row r="789" spans="1:5">
      <c r="A789" s="4" t="str">
        <f t="shared" si="59"/>
        <v>2</v>
      </c>
      <c r="B789" s="4" t="str">
        <f>"WILLIAM LUIZ DOS SANTOS"</f>
        <v>WILLIAM LUIZ DOS SANTOS</v>
      </c>
      <c r="C789" s="4" t="str">
        <f>"TECNICO ADM ESPECIALIZADO"</f>
        <v>TECNICO ADM ESPECIALIZADO</v>
      </c>
      <c r="D789" s="5">
        <v>200</v>
      </c>
      <c r="E789" s="4" t="str">
        <f t="shared" si="64"/>
        <v>Funcionário</v>
      </c>
    </row>
    <row r="790" spans="1:5">
      <c r="A790" s="4" t="str">
        <f t="shared" si="59"/>
        <v>2</v>
      </c>
      <c r="B790" s="4" t="str">
        <f>"WILLIAM RAYMUNDO GOMES DA SILVA"</f>
        <v>WILLIAM RAYMUNDO GOMES DA SILVA</v>
      </c>
      <c r="C790" s="4" t="str">
        <f>"TEC INDUSTRIAL ESPECIALIZADO"</f>
        <v>TEC INDUSTRIAL ESPECIALIZADO</v>
      </c>
      <c r="D790" s="5">
        <v>200</v>
      </c>
      <c r="E790" s="4" t="str">
        <f t="shared" si="64"/>
        <v>Funcionário</v>
      </c>
    </row>
    <row r="791" spans="1:5">
      <c r="A791" s="4" t="str">
        <f t="shared" si="59"/>
        <v>2</v>
      </c>
      <c r="B791" s="4" t="str">
        <f>"WILLIAM RUBBIOLI CORDEIRO"</f>
        <v>WILLIAM RUBBIOLI CORDEIRO</v>
      </c>
      <c r="C791" s="4" t="str">
        <f>"ASSESSOR CHEFE I"</f>
        <v>ASSESSOR CHEFE I</v>
      </c>
      <c r="D791" s="5">
        <v>201</v>
      </c>
      <c r="E791" s="4" t="str">
        <f t="shared" si="64"/>
        <v>Funcionário</v>
      </c>
    </row>
    <row r="792" spans="1:5">
      <c r="A792" s="4" t="str">
        <f t="shared" si="59"/>
        <v>2</v>
      </c>
      <c r="B792" s="4" t="str">
        <f>"WILSON CEZAR DE OLIVEIRA MATTOS JUNIOR"</f>
        <v>WILSON CEZAR DE OLIVEIRA MATTOS JUNIOR</v>
      </c>
      <c r="C792" s="4" t="str">
        <f>"OF FERRAMENTARIA INDUSTRIAL"</f>
        <v>OF FERRAMENTARIA INDUSTRIAL</v>
      </c>
      <c r="D792" s="5">
        <v>200</v>
      </c>
      <c r="E792" s="4" t="str">
        <f t="shared" si="64"/>
        <v>Funcionário</v>
      </c>
    </row>
    <row r="793" spans="1:5">
      <c r="A793" s="4" t="str">
        <f t="shared" si="59"/>
        <v>2</v>
      </c>
      <c r="B793" s="4" t="str">
        <f>"WILTON TOMAZ DE AQUINO PEREIRA"</f>
        <v>WILTON TOMAZ DE AQUINO PEREIRA</v>
      </c>
      <c r="C793" s="4" t="str">
        <f>"TEC INDUSTRIAL ESPECIALIZADO"</f>
        <v>TEC INDUSTRIAL ESPECIALIZADO</v>
      </c>
      <c r="D793" s="5">
        <v>200</v>
      </c>
      <c r="E793" s="4" t="str">
        <f t="shared" si="64"/>
        <v>Funcionário</v>
      </c>
    </row>
    <row r="794" spans="1:5">
      <c r="A794" s="4" t="str">
        <f t="shared" si="59"/>
        <v>2</v>
      </c>
      <c r="B794" s="4" t="str">
        <f>"ZAQUEU DA SILVA FREITAS"</f>
        <v>ZAQUEU DA SILVA FREITAS</v>
      </c>
      <c r="C794" s="4" t="str">
        <f>"OF FERRAMENTARIA INDUSTRIAL"</f>
        <v>OF FERRAMENTARIA INDUSTRIAL</v>
      </c>
      <c r="D794" s="5">
        <v>200</v>
      </c>
      <c r="E794" s="4" t="str">
        <f t="shared" si="64"/>
        <v>Funcionário</v>
      </c>
    </row>
    <row r="795" spans="1:5">
      <c r="A795" s="4" t="str">
        <f t="shared" ref="A795:A826" si="65">"4"</f>
        <v>4</v>
      </c>
      <c r="B795" s="4" t="str">
        <f>"ADEMAR CAMILO MARRIEL"</f>
        <v>ADEMAR CAMILO MARRIEL</v>
      </c>
      <c r="C795" s="4" t="str">
        <f>"TEC INDUSTRIAL ESPECIALIZADO"</f>
        <v>TEC INDUSTRIAL ESPECIALIZADO</v>
      </c>
      <c r="D795" s="5">
        <v>400</v>
      </c>
      <c r="E795" s="4" t="str">
        <f t="shared" si="64"/>
        <v>Funcionário</v>
      </c>
    </row>
    <row r="796" spans="1:5">
      <c r="A796" s="4" t="str">
        <f t="shared" si="65"/>
        <v>4</v>
      </c>
      <c r="B796" s="4" t="str">
        <f>"ADEMAR LEMOS DE SANTANA NETO"</f>
        <v>ADEMAR LEMOS DE SANTANA NETO</v>
      </c>
      <c r="C796" s="4" t="str">
        <f>"OF FERRAMENTARIA INDUSTRIAL"</f>
        <v>OF FERRAMENTARIA INDUSTRIAL</v>
      </c>
      <c r="D796" s="5">
        <v>400</v>
      </c>
      <c r="E796" s="4" t="str">
        <f>"Aposentado"</f>
        <v>Aposentado</v>
      </c>
    </row>
    <row r="797" spans="1:5">
      <c r="A797" s="4" t="str">
        <f t="shared" si="65"/>
        <v>4</v>
      </c>
      <c r="B797" s="4" t="str">
        <f>"ADEMIR VIEIRA"</f>
        <v>ADEMIR VIEIRA</v>
      </c>
      <c r="C797" s="4" t="str">
        <f>"OFICIAL DE PRODUCAO INDUSTRIAL"</f>
        <v>OFICIAL DE PRODUCAO INDUSTRIAL</v>
      </c>
      <c r="D797" s="5">
        <v>400</v>
      </c>
      <c r="E797" s="4" t="str">
        <f>"Aposentado"</f>
        <v>Aposentado</v>
      </c>
    </row>
    <row r="798" spans="1:5">
      <c r="A798" s="4" t="str">
        <f t="shared" si="65"/>
        <v>4</v>
      </c>
      <c r="B798" s="4" t="str">
        <f>"ADLER  MOURA"</f>
        <v>ADLER  MOURA</v>
      </c>
      <c r="C798" s="4" t="str">
        <f>"CHEFE DE UNIDADE III"</f>
        <v>CHEFE DE UNIDADE III</v>
      </c>
      <c r="D798" s="5">
        <v>401</v>
      </c>
      <c r="E798" s="4" t="str">
        <f>"Funcionário"</f>
        <v>Funcionário</v>
      </c>
    </row>
    <row r="799" spans="1:5">
      <c r="A799" s="4" t="str">
        <f t="shared" si="65"/>
        <v>4</v>
      </c>
      <c r="B799" s="4" t="str">
        <f>"ADRIANE MARIA SILVA DOS SANTOS"</f>
        <v>ADRIANE MARIA SILVA DOS SANTOS</v>
      </c>
      <c r="C799" s="4" t="str">
        <f>"OFICIAL DE PRODUCAO INDUSTRIAL"</f>
        <v>OFICIAL DE PRODUCAO INDUSTRIAL</v>
      </c>
      <c r="D799" s="5">
        <v>400</v>
      </c>
      <c r="E799" s="4" t="str">
        <f>"Funcionário"</f>
        <v>Funcionário</v>
      </c>
    </row>
    <row r="800" spans="1:5">
      <c r="A800" s="4" t="str">
        <f t="shared" si="65"/>
        <v>4</v>
      </c>
      <c r="B800" s="4" t="str">
        <f>"ALESSANDER RAMOS AMENTA"</f>
        <v>ALESSANDER RAMOS AMENTA</v>
      </c>
      <c r="C800" s="4" t="str">
        <f>"TECNICO SEGURANÇA DO TRABALHO"</f>
        <v>TECNICO SEGURANÇA DO TRABALHO</v>
      </c>
      <c r="D800" s="5">
        <v>400</v>
      </c>
      <c r="E800" s="4" t="str">
        <f>"Funcionário"</f>
        <v>Funcionário</v>
      </c>
    </row>
    <row r="801" spans="1:5">
      <c r="A801" s="4" t="str">
        <f t="shared" si="65"/>
        <v>4</v>
      </c>
      <c r="B801" s="4" t="str">
        <f>"ALEXANDRE CAVALCANTI GUIMARAES"</f>
        <v>ALEXANDRE CAVALCANTI GUIMARAES</v>
      </c>
      <c r="C801" s="4" t="str">
        <f>"ASSESSOR CHEFE I"</f>
        <v>ASSESSOR CHEFE I</v>
      </c>
      <c r="D801" s="5">
        <v>401</v>
      </c>
      <c r="E801" s="4" t="str">
        <f>"Funcionário"</f>
        <v>Funcionário</v>
      </c>
    </row>
    <row r="802" spans="1:5">
      <c r="A802" s="4" t="str">
        <f t="shared" si="65"/>
        <v>4</v>
      </c>
      <c r="B802" s="4" t="str">
        <f>"ALEXANDRE JOSÉ MACHADO DA ROCHA"</f>
        <v>ALEXANDRE JOSÉ MACHADO DA ROCHA</v>
      </c>
      <c r="C802" s="4" t="str">
        <f>"TECNICO ADM ESPECIALIZADO"</f>
        <v>TECNICO ADM ESPECIALIZADO</v>
      </c>
      <c r="D802" s="5">
        <v>400</v>
      </c>
      <c r="E802" s="4" t="str">
        <f>"Funcionário"</f>
        <v>Funcionário</v>
      </c>
    </row>
    <row r="803" spans="1:5">
      <c r="A803" s="4" t="str">
        <f t="shared" si="65"/>
        <v>4</v>
      </c>
      <c r="B803" s="4" t="str">
        <f>"ALEXANDRE JOSE OLIVEIRA"</f>
        <v>ALEXANDRE JOSE OLIVEIRA</v>
      </c>
      <c r="C803" s="4" t="str">
        <f>"OF FERRAMENTARIA INDUSTRIAL"</f>
        <v>OF FERRAMENTARIA INDUSTRIAL</v>
      </c>
      <c r="D803" s="5">
        <v>400</v>
      </c>
      <c r="E803" s="4" t="str">
        <f>"Aposentado"</f>
        <v>Aposentado</v>
      </c>
    </row>
    <row r="804" spans="1:5">
      <c r="A804" s="4" t="str">
        <f t="shared" si="65"/>
        <v>4</v>
      </c>
      <c r="B804" s="4" t="str">
        <f>"ANA BEATRIZ SANTANA MAGALHÃES"</f>
        <v>ANA BEATRIZ SANTANA MAGALHÃES</v>
      </c>
      <c r="C804" s="4" t="str">
        <f>"TECNICO ADM ESPECIALIZADO"</f>
        <v>TECNICO ADM ESPECIALIZADO</v>
      </c>
      <c r="D804" s="5">
        <v>400</v>
      </c>
      <c r="E804" s="4" t="str">
        <f>"Funcionário"</f>
        <v>Funcionário</v>
      </c>
    </row>
    <row r="805" spans="1:5">
      <c r="A805" s="4" t="str">
        <f t="shared" si="65"/>
        <v>4</v>
      </c>
      <c r="B805" s="4" t="str">
        <f>"ANDERSON DA SILVA MARTINS"</f>
        <v>ANDERSON DA SILVA MARTINS</v>
      </c>
      <c r="C805" s="4" t="str">
        <f>"ENGENHEIRO"</f>
        <v>ENGENHEIRO</v>
      </c>
      <c r="D805" s="5">
        <v>400</v>
      </c>
      <c r="E805" s="4" t="str">
        <f>"Funcionário"</f>
        <v>Funcionário</v>
      </c>
    </row>
    <row r="806" spans="1:5">
      <c r="A806" s="4" t="str">
        <f t="shared" si="65"/>
        <v>4</v>
      </c>
      <c r="B806" s="4" t="str">
        <f>"ANDRE LOBO DA SILVA"</f>
        <v>ANDRE LOBO DA SILVA</v>
      </c>
      <c r="C806" s="4" t="str">
        <f>"FERRAMENTEIRO II"</f>
        <v>FERRAMENTEIRO II</v>
      </c>
      <c r="D806" s="5">
        <v>400</v>
      </c>
      <c r="E806" s="4" t="str">
        <f>"Funcionário"</f>
        <v>Funcionário</v>
      </c>
    </row>
    <row r="807" spans="1:5">
      <c r="A807" s="4" t="str">
        <f t="shared" si="65"/>
        <v>4</v>
      </c>
      <c r="B807" s="4" t="str">
        <f>"ANDREA CRISTINA DOS SANTOS OLIVEIRA"</f>
        <v>ANDREA CRISTINA DOS SANTOS OLIVEIRA</v>
      </c>
      <c r="C807" s="4" t="str">
        <f>"AGENTE DE APOIO OPERACIONAL"</f>
        <v>AGENTE DE APOIO OPERACIONAL</v>
      </c>
      <c r="D807" s="5">
        <v>400</v>
      </c>
      <c r="E807" s="4" t="str">
        <f>"Funcionário"</f>
        <v>Funcionário</v>
      </c>
    </row>
    <row r="808" spans="1:5">
      <c r="A808" s="4" t="str">
        <f t="shared" si="65"/>
        <v>4</v>
      </c>
      <c r="B808" s="4" t="str">
        <f>"ANESIO PEDRO DOS SANTOS"</f>
        <v>ANESIO PEDRO DOS SANTOS</v>
      </c>
      <c r="C808" s="4" t="str">
        <f>"AUX TECNICO ADMINISTRATIVO"</f>
        <v>AUX TECNICO ADMINISTRATIVO</v>
      </c>
      <c r="D808" s="5">
        <v>400</v>
      </c>
      <c r="E808" s="4" t="str">
        <f>"Aposentado"</f>
        <v>Aposentado</v>
      </c>
    </row>
    <row r="809" spans="1:5">
      <c r="A809" s="4" t="str">
        <f t="shared" si="65"/>
        <v>4</v>
      </c>
      <c r="B809" s="4" t="str">
        <f>"ANGELA GONCALVES"</f>
        <v>ANGELA GONCALVES</v>
      </c>
      <c r="C809" s="4" t="str">
        <f>"TECNICO ADM ESPECIALIZADO"</f>
        <v>TECNICO ADM ESPECIALIZADO</v>
      </c>
      <c r="D809" s="5">
        <v>400</v>
      </c>
      <c r="E809" s="4" t="str">
        <f>"Aposentado"</f>
        <v>Aposentado</v>
      </c>
    </row>
    <row r="810" spans="1:5">
      <c r="A810" s="4" t="str">
        <f t="shared" si="65"/>
        <v>4</v>
      </c>
      <c r="B810" s="4" t="str">
        <f>"ANTONIO CARLOS CASTANON VIEIRA"</f>
        <v>ANTONIO CARLOS CASTANON VIEIRA</v>
      </c>
      <c r="C810" s="4" t="str">
        <f>"ASSESSOR CHEFE I"</f>
        <v>ASSESSOR CHEFE I</v>
      </c>
      <c r="D810" s="5">
        <v>401</v>
      </c>
      <c r="E810" s="4" t="str">
        <f>"Funcionário"</f>
        <v>Funcionário</v>
      </c>
    </row>
    <row r="811" spans="1:5">
      <c r="A811" s="4" t="str">
        <f t="shared" si="65"/>
        <v>4</v>
      </c>
      <c r="B811" s="4" t="str">
        <f>"ANTONIO CARLOS DA SILVA"</f>
        <v>ANTONIO CARLOS DA SILVA</v>
      </c>
      <c r="C811" s="4" t="str">
        <f>"TEC INDUSTRIAL ESPECIALIZADO"</f>
        <v>TEC INDUSTRIAL ESPECIALIZADO</v>
      </c>
      <c r="D811" s="5">
        <v>400</v>
      </c>
      <c r="E811" s="4" t="str">
        <f>"Aposentado"</f>
        <v>Aposentado</v>
      </c>
    </row>
    <row r="812" spans="1:5">
      <c r="A812" s="4" t="str">
        <f t="shared" si="65"/>
        <v>4</v>
      </c>
      <c r="B812" s="4" t="str">
        <f>"ANTONIO EMANUEL GOICOCHEA"</f>
        <v>ANTONIO EMANUEL GOICOCHEA</v>
      </c>
      <c r="C812" s="4" t="str">
        <f>"MÉDICO"</f>
        <v>MÉDICO</v>
      </c>
      <c r="D812" s="5">
        <v>400</v>
      </c>
      <c r="E812" s="4" t="str">
        <f t="shared" ref="E812:E821" si="66">"Funcionário"</f>
        <v>Funcionário</v>
      </c>
    </row>
    <row r="813" spans="1:5">
      <c r="A813" s="4" t="str">
        <f t="shared" si="65"/>
        <v>4</v>
      </c>
      <c r="B813" s="4" t="str">
        <f>"ARIANE MARTINS COSTA JARDIM"</f>
        <v>ARIANE MARTINS COSTA JARDIM</v>
      </c>
      <c r="C813" s="4" t="str">
        <f>"ESPECIALISTA"</f>
        <v>ESPECIALISTA</v>
      </c>
      <c r="D813" s="5">
        <v>400</v>
      </c>
      <c r="E813" s="4" t="str">
        <f t="shared" si="66"/>
        <v>Funcionário</v>
      </c>
    </row>
    <row r="814" spans="1:5">
      <c r="A814" s="4" t="str">
        <f t="shared" si="65"/>
        <v>4</v>
      </c>
      <c r="B814" s="4" t="str">
        <f>"ARTHUR HENRIQUE SILVA DE SOUZA"</f>
        <v>ARTHUR HENRIQUE SILVA DE SOUZA</v>
      </c>
      <c r="C814" s="4" t="str">
        <f>"TECNICO ADM ESPECIALIZADO"</f>
        <v>TECNICO ADM ESPECIALIZADO</v>
      </c>
      <c r="D814" s="5">
        <v>400</v>
      </c>
      <c r="E814" s="4" t="str">
        <f t="shared" si="66"/>
        <v>Funcionário</v>
      </c>
    </row>
    <row r="815" spans="1:5">
      <c r="A815" s="4" t="str">
        <f t="shared" si="65"/>
        <v>4</v>
      </c>
      <c r="B815" s="4" t="str">
        <f>"BARBARA MARTINS DO VALE"</f>
        <v>BARBARA MARTINS DO VALE</v>
      </c>
      <c r="C815" s="4" t="str">
        <f>"TEC INDUSTRIAL ESPECIALIZADO"</f>
        <v>TEC INDUSTRIAL ESPECIALIZADO</v>
      </c>
      <c r="D815" s="5">
        <v>400</v>
      </c>
      <c r="E815" s="4" t="str">
        <f t="shared" si="66"/>
        <v>Funcionário</v>
      </c>
    </row>
    <row r="816" spans="1:5">
      <c r="A816" s="4" t="str">
        <f t="shared" si="65"/>
        <v>4</v>
      </c>
      <c r="B816" s="4" t="str">
        <f>"BERNARDO GUERRA LOBAO"</f>
        <v>BERNARDO GUERRA LOBAO</v>
      </c>
      <c r="C816" s="4" t="str">
        <f>"TECNICO ADM ESPECIALIZADO"</f>
        <v>TECNICO ADM ESPECIALIZADO</v>
      </c>
      <c r="D816" s="5">
        <v>400</v>
      </c>
      <c r="E816" s="4" t="str">
        <f t="shared" si="66"/>
        <v>Funcionário</v>
      </c>
    </row>
    <row r="817" spans="1:5">
      <c r="A817" s="4" t="str">
        <f t="shared" si="65"/>
        <v>4</v>
      </c>
      <c r="B817" s="4" t="str">
        <f>"BRENO FERRAZ DE MELLO QUEZADA"</f>
        <v>BRENO FERRAZ DE MELLO QUEZADA</v>
      </c>
      <c r="C817" s="4" t="str">
        <f>"MILITAR DA ATIVA"</f>
        <v>MILITAR DA ATIVA</v>
      </c>
      <c r="D817" s="5">
        <v>919</v>
      </c>
      <c r="E817" s="4" t="str">
        <f t="shared" si="66"/>
        <v>Funcionário</v>
      </c>
    </row>
    <row r="818" spans="1:5">
      <c r="A818" s="4" t="str">
        <f t="shared" si="65"/>
        <v>4</v>
      </c>
      <c r="B818" s="4" t="str">
        <f>"BRUNO FELIPE CALIXTO DE MELO"</f>
        <v>BRUNO FELIPE CALIXTO DE MELO</v>
      </c>
      <c r="C818" s="4" t="str">
        <f>"TECNICO ADM ESPECIALIZADO"</f>
        <v>TECNICO ADM ESPECIALIZADO</v>
      </c>
      <c r="D818" s="5">
        <v>400</v>
      </c>
      <c r="E818" s="4" t="str">
        <f t="shared" si="66"/>
        <v>Funcionário</v>
      </c>
    </row>
    <row r="819" spans="1:5">
      <c r="A819" s="4" t="str">
        <f t="shared" si="65"/>
        <v>4</v>
      </c>
      <c r="B819" s="4" t="str">
        <f>"CARLA CERQUEIRA LOBO"</f>
        <v>CARLA CERQUEIRA LOBO</v>
      </c>
      <c r="C819" s="4" t="str">
        <f>"ANALISTA ESPECIALIZADO"</f>
        <v>ANALISTA ESPECIALIZADO</v>
      </c>
      <c r="D819" s="5">
        <v>400</v>
      </c>
      <c r="E819" s="4" t="str">
        <f t="shared" si="66"/>
        <v>Funcionário</v>
      </c>
    </row>
    <row r="820" spans="1:5">
      <c r="A820" s="4" t="str">
        <f t="shared" si="65"/>
        <v>4</v>
      </c>
      <c r="B820" s="4" t="str">
        <f>"CARLOS ALBERTO MARTINS VIEIRA"</f>
        <v>CARLOS ALBERTO MARTINS VIEIRA</v>
      </c>
      <c r="C820" s="4" t="str">
        <f>"TECNICO ADM ESPECIALIZADO"</f>
        <v>TECNICO ADM ESPECIALIZADO</v>
      </c>
      <c r="D820" s="5">
        <v>400</v>
      </c>
      <c r="E820" s="4" t="str">
        <f t="shared" si="66"/>
        <v>Funcionário</v>
      </c>
    </row>
    <row r="821" spans="1:5">
      <c r="A821" s="4" t="str">
        <f t="shared" si="65"/>
        <v>4</v>
      </c>
      <c r="B821" s="4" t="str">
        <f>"CARLOS ALBERTO RIBEIRO DE SOUSA"</f>
        <v>CARLOS ALBERTO RIBEIRO DE SOUSA</v>
      </c>
      <c r="C821" s="4" t="str">
        <f>"AGENTE DE APOIO OPERACIONAL"</f>
        <v>AGENTE DE APOIO OPERACIONAL</v>
      </c>
      <c r="D821" s="5">
        <v>400</v>
      </c>
      <c r="E821" s="4" t="str">
        <f t="shared" si="66"/>
        <v>Funcionário</v>
      </c>
    </row>
    <row r="822" spans="1:5">
      <c r="A822" s="4" t="str">
        <f t="shared" si="65"/>
        <v>4</v>
      </c>
      <c r="B822" s="4" t="str">
        <f>"CARLOS DANIEL BEZERRA FELIX DE OLIVEIRA"</f>
        <v>CARLOS DANIEL BEZERRA FELIX DE OLIVEIRA</v>
      </c>
      <c r="C822" s="4" t="str">
        <f>"APRENDIZ- PRODUÇÃO"</f>
        <v>APRENDIZ- PRODUÇÃO</v>
      </c>
      <c r="D822" s="5">
        <v>403</v>
      </c>
      <c r="E822" s="4" t="str">
        <f>"Aprendiz"</f>
        <v>Aprendiz</v>
      </c>
    </row>
    <row r="823" spans="1:5">
      <c r="A823" s="4" t="str">
        <f t="shared" si="65"/>
        <v>4</v>
      </c>
      <c r="B823" s="4" t="str">
        <f>"CARLOS HENRIQUE DE SOUZA ROCHA"</f>
        <v>CARLOS HENRIQUE DE SOUZA ROCHA</v>
      </c>
      <c r="C823" s="4" t="str">
        <f>"ENGENHEIRO"</f>
        <v>ENGENHEIRO</v>
      </c>
      <c r="D823" s="5">
        <v>400</v>
      </c>
      <c r="E823" s="4" t="str">
        <f t="shared" ref="E823:E832" si="67">"Funcionário"</f>
        <v>Funcionário</v>
      </c>
    </row>
    <row r="824" spans="1:5">
      <c r="A824" s="4" t="str">
        <f t="shared" si="65"/>
        <v>4</v>
      </c>
      <c r="B824" s="4" t="str">
        <f>"CINTHYA DOS SANTOS SAMPAIO"</f>
        <v>CINTHYA DOS SANTOS SAMPAIO</v>
      </c>
      <c r="C824" s="4" t="str">
        <f>"TECNICO ADM ESPECIALIZADO"</f>
        <v>TECNICO ADM ESPECIALIZADO</v>
      </c>
      <c r="D824" s="5">
        <v>400</v>
      </c>
      <c r="E824" s="4" t="str">
        <f t="shared" si="67"/>
        <v>Funcionário</v>
      </c>
    </row>
    <row r="825" spans="1:5">
      <c r="A825" s="4" t="str">
        <f t="shared" si="65"/>
        <v>4</v>
      </c>
      <c r="B825" s="4" t="str">
        <f>"CLAUDETE ROCHA DA SILVA"</f>
        <v>CLAUDETE ROCHA DA SILVA</v>
      </c>
      <c r="C825" s="4" t="str">
        <f>"OFICIAL DE PRODUCAO INDUSTRIAL"</f>
        <v>OFICIAL DE PRODUCAO INDUSTRIAL</v>
      </c>
      <c r="D825" s="5">
        <v>400</v>
      </c>
      <c r="E825" s="4" t="str">
        <f t="shared" si="67"/>
        <v>Funcionário</v>
      </c>
    </row>
    <row r="826" spans="1:5">
      <c r="A826" s="4" t="str">
        <f t="shared" si="65"/>
        <v>4</v>
      </c>
      <c r="B826" s="4" t="str">
        <f>"CLAUDIO DE MELLO MARTINS"</f>
        <v>CLAUDIO DE MELLO MARTINS</v>
      </c>
      <c r="C826" s="4" t="str">
        <f>"TECNICO ADM ESPECIALIZADO"</f>
        <v>TECNICO ADM ESPECIALIZADO</v>
      </c>
      <c r="D826" s="5">
        <v>400</v>
      </c>
      <c r="E826" s="4" t="str">
        <f t="shared" si="67"/>
        <v>Funcionário</v>
      </c>
    </row>
    <row r="827" spans="1:5">
      <c r="A827" s="4" t="str">
        <f t="shared" ref="A827:A858" si="68">"4"</f>
        <v>4</v>
      </c>
      <c r="B827" s="4" t="str">
        <f>"DAIANNE GIVIGI LOPES"</f>
        <v>DAIANNE GIVIGI LOPES</v>
      </c>
      <c r="C827" s="4" t="str">
        <f>"TECNICO ADM ESPECIALIZADO"</f>
        <v>TECNICO ADM ESPECIALIZADO</v>
      </c>
      <c r="D827" s="5">
        <v>400</v>
      </c>
      <c r="E827" s="4" t="str">
        <f t="shared" si="67"/>
        <v>Funcionário</v>
      </c>
    </row>
    <row r="828" spans="1:5">
      <c r="A828" s="4" t="str">
        <f t="shared" si="68"/>
        <v>4</v>
      </c>
      <c r="B828" s="4" t="str">
        <f>"DANIELE MONTENEGRO DA SILVA"</f>
        <v>DANIELE MONTENEGRO DA SILVA</v>
      </c>
      <c r="C828" s="4" t="str">
        <f>"TECNICO ADM ESPECIALIZADO"</f>
        <v>TECNICO ADM ESPECIALIZADO</v>
      </c>
      <c r="D828" s="5">
        <v>400</v>
      </c>
      <c r="E828" s="4" t="str">
        <f t="shared" si="67"/>
        <v>Funcionário</v>
      </c>
    </row>
    <row r="829" spans="1:5">
      <c r="A829" s="4" t="str">
        <f t="shared" si="68"/>
        <v>4</v>
      </c>
      <c r="B829" s="4" t="str">
        <f>"DANILO IBRAHIM BRAGA GOMES CORREA"</f>
        <v>DANILO IBRAHIM BRAGA GOMES CORREA</v>
      </c>
      <c r="C829" s="4" t="str">
        <f>"ADVOGADO"</f>
        <v>ADVOGADO</v>
      </c>
      <c r="D829" s="5">
        <v>404</v>
      </c>
      <c r="E829" s="4" t="str">
        <f t="shared" si="67"/>
        <v>Funcionário</v>
      </c>
    </row>
    <row r="830" spans="1:5">
      <c r="A830" s="4" t="str">
        <f t="shared" si="68"/>
        <v>4</v>
      </c>
      <c r="B830" s="4" t="str">
        <f>"DOMINGOS ALEXANDRE FERNANDES FERREIRA"</f>
        <v>DOMINGOS ALEXANDRE FERNANDES FERREIRA</v>
      </c>
      <c r="C830" s="4" t="str">
        <f>"ENGENHEIRO"</f>
        <v>ENGENHEIRO</v>
      </c>
      <c r="D830" s="5">
        <v>400</v>
      </c>
      <c r="E830" s="4" t="str">
        <f t="shared" si="67"/>
        <v>Funcionário</v>
      </c>
    </row>
    <row r="831" spans="1:5">
      <c r="A831" s="4" t="str">
        <f t="shared" si="68"/>
        <v>4</v>
      </c>
      <c r="B831" s="4" t="str">
        <f>"DOUGLAS DE BARROS FERNANDES"</f>
        <v>DOUGLAS DE BARROS FERNANDES</v>
      </c>
      <c r="C831" s="4" t="str">
        <f>"TEC INDUSTRIAL ESPECIALIZADO"</f>
        <v>TEC INDUSTRIAL ESPECIALIZADO</v>
      </c>
      <c r="D831" s="5">
        <v>400</v>
      </c>
      <c r="E831" s="4" t="str">
        <f t="shared" si="67"/>
        <v>Funcionário</v>
      </c>
    </row>
    <row r="832" spans="1:5">
      <c r="A832" s="4" t="str">
        <f t="shared" si="68"/>
        <v>4</v>
      </c>
      <c r="B832" s="4" t="str">
        <f>"EDGAR MARTINS CALASANS"</f>
        <v>EDGAR MARTINS CALASANS</v>
      </c>
      <c r="C832" s="4" t="str">
        <f>"MOTORISTA"</f>
        <v>MOTORISTA</v>
      </c>
      <c r="D832" s="5">
        <v>400</v>
      </c>
      <c r="E832" s="4" t="str">
        <f t="shared" si="67"/>
        <v>Funcionário</v>
      </c>
    </row>
    <row r="833" spans="1:5">
      <c r="A833" s="4" t="str">
        <f t="shared" si="68"/>
        <v>4</v>
      </c>
      <c r="B833" s="4" t="str">
        <f>"EDINAMÉRICO ALVES"</f>
        <v>EDINAMÉRICO ALVES</v>
      </c>
      <c r="C833" s="4" t="str">
        <f>"ANALISTA ESPECIALIZADO"</f>
        <v>ANALISTA ESPECIALIZADO</v>
      </c>
      <c r="D833" s="5">
        <v>400</v>
      </c>
      <c r="E833" s="4" t="str">
        <f>"Aposentado"</f>
        <v>Aposentado</v>
      </c>
    </row>
    <row r="834" spans="1:5">
      <c r="A834" s="4" t="str">
        <f t="shared" si="68"/>
        <v>4</v>
      </c>
      <c r="B834" s="4" t="str">
        <f>"EDMILSON RIBEIRO DA SILVA"</f>
        <v>EDMILSON RIBEIRO DA SILVA</v>
      </c>
      <c r="C834" s="4" t="str">
        <f>"TEC INDUSTRIAL ESPECIALIZADO"</f>
        <v>TEC INDUSTRIAL ESPECIALIZADO</v>
      </c>
      <c r="D834" s="5">
        <v>400</v>
      </c>
      <c r="E834" s="4" t="str">
        <f t="shared" ref="E834:E841" si="69">"Funcionário"</f>
        <v>Funcionário</v>
      </c>
    </row>
    <row r="835" spans="1:5">
      <c r="A835" s="4" t="str">
        <f t="shared" si="68"/>
        <v>4</v>
      </c>
      <c r="B835" s="4" t="str">
        <f>"EDSON WENDT DOS REIS"</f>
        <v>EDSON WENDT DOS REIS</v>
      </c>
      <c r="C835" s="4" t="str">
        <f>"OF FERRAMENTARIA INDUSTRIAL"</f>
        <v>OF FERRAMENTARIA INDUSTRIAL</v>
      </c>
      <c r="D835" s="5">
        <v>400</v>
      </c>
      <c r="E835" s="4" t="str">
        <f t="shared" si="69"/>
        <v>Funcionário</v>
      </c>
    </row>
    <row r="836" spans="1:5">
      <c r="A836" s="4" t="str">
        <f t="shared" si="68"/>
        <v>4</v>
      </c>
      <c r="B836" s="4" t="str">
        <f>"EGBERTO TOME COSTA DOS SANTOS"</f>
        <v>EGBERTO TOME COSTA DOS SANTOS</v>
      </c>
      <c r="C836" s="4" t="str">
        <f>"TEC INDUSTRIAL ESPECIALIZADO"</f>
        <v>TEC INDUSTRIAL ESPECIALIZADO</v>
      </c>
      <c r="D836" s="5">
        <v>400</v>
      </c>
      <c r="E836" s="4" t="str">
        <f t="shared" si="69"/>
        <v>Funcionário</v>
      </c>
    </row>
    <row r="837" spans="1:5">
      <c r="A837" s="4" t="str">
        <f t="shared" si="68"/>
        <v>4</v>
      </c>
      <c r="B837" s="4" t="str">
        <f>"ELAINE DE LUCENA"</f>
        <v>ELAINE DE LUCENA</v>
      </c>
      <c r="C837" s="4" t="str">
        <f>"TECNICO ADM ESPECIALIZADO"</f>
        <v>TECNICO ADM ESPECIALIZADO</v>
      </c>
      <c r="D837" s="5">
        <v>400</v>
      </c>
      <c r="E837" s="4" t="str">
        <f t="shared" si="69"/>
        <v>Funcionário</v>
      </c>
    </row>
    <row r="838" spans="1:5">
      <c r="A838" s="4" t="str">
        <f t="shared" si="68"/>
        <v>4</v>
      </c>
      <c r="B838" s="4" t="str">
        <f>"ELIEL FERREIRA DE SOUZA SILVA"</f>
        <v>ELIEL FERREIRA DE SOUZA SILVA</v>
      </c>
      <c r="C838" s="4" t="str">
        <f>"TEC INDUSTRIAL ESPECIALIZADO"</f>
        <v>TEC INDUSTRIAL ESPECIALIZADO</v>
      </c>
      <c r="D838" s="5">
        <v>400</v>
      </c>
      <c r="E838" s="4" t="str">
        <f t="shared" si="69"/>
        <v>Funcionário</v>
      </c>
    </row>
    <row r="839" spans="1:5">
      <c r="A839" s="4" t="str">
        <f t="shared" si="68"/>
        <v>4</v>
      </c>
      <c r="B839" s="4" t="str">
        <f>"ELISANGELA MARCIA ROSA DE SOUSA"</f>
        <v>ELISANGELA MARCIA ROSA DE SOUSA</v>
      </c>
      <c r="C839" s="4" t="str">
        <f>"ANALISTA ESPECIALIZADO"</f>
        <v>ANALISTA ESPECIALIZADO</v>
      </c>
      <c r="D839" s="5">
        <v>400</v>
      </c>
      <c r="E839" s="4" t="str">
        <f t="shared" si="69"/>
        <v>Funcionário</v>
      </c>
    </row>
    <row r="840" spans="1:5">
      <c r="A840" s="4" t="str">
        <f t="shared" si="68"/>
        <v>4</v>
      </c>
      <c r="B840" s="4" t="str">
        <f>"ELIZANGELA MOREIRA SOARES"</f>
        <v>ELIZANGELA MOREIRA SOARES</v>
      </c>
      <c r="C840" s="4" t="str">
        <f>"OFICIAL DE PRODUCAO INDUSTRIAL"</f>
        <v>OFICIAL DE PRODUCAO INDUSTRIAL</v>
      </c>
      <c r="D840" s="5">
        <v>400</v>
      </c>
      <c r="E840" s="4" t="str">
        <f t="shared" si="69"/>
        <v>Funcionário</v>
      </c>
    </row>
    <row r="841" spans="1:5">
      <c r="A841" s="4" t="str">
        <f t="shared" si="68"/>
        <v>4</v>
      </c>
      <c r="B841" s="4" t="str">
        <f>"EREMILTON CLAUDINO DE SOUZA"</f>
        <v>EREMILTON CLAUDINO DE SOUZA</v>
      </c>
      <c r="C841" s="4" t="str">
        <f>"OFICIAL DE PRODUÇÃO INDUSTRIAL"</f>
        <v>OFICIAL DE PRODUÇÃO INDUSTRIAL</v>
      </c>
      <c r="D841" s="5">
        <v>400</v>
      </c>
      <c r="E841" s="4" t="str">
        <f t="shared" si="69"/>
        <v>Funcionário</v>
      </c>
    </row>
    <row r="842" spans="1:5">
      <c r="A842" s="4" t="str">
        <f t="shared" si="68"/>
        <v>4</v>
      </c>
      <c r="B842" s="4" t="str">
        <f>"FATIMA SANTOS DA CUNHA"</f>
        <v>FATIMA SANTOS DA CUNHA</v>
      </c>
      <c r="C842" s="4" t="str">
        <f>"OFICIAL DE PRODUCAO INDUSTRIAL"</f>
        <v>OFICIAL DE PRODUCAO INDUSTRIAL</v>
      </c>
      <c r="D842" s="5">
        <v>400</v>
      </c>
      <c r="E842" s="4" t="str">
        <f>"Aposentado"</f>
        <v>Aposentado</v>
      </c>
    </row>
    <row r="843" spans="1:5">
      <c r="A843" s="4" t="str">
        <f t="shared" si="68"/>
        <v>4</v>
      </c>
      <c r="B843" s="4" t="str">
        <f>"FERNANDO DE ABREU LIMA"</f>
        <v>FERNANDO DE ABREU LIMA</v>
      </c>
      <c r="C843" s="4" t="str">
        <f>"TEC INDUSTRIAL ESPECIALIZADO"</f>
        <v>TEC INDUSTRIAL ESPECIALIZADO</v>
      </c>
      <c r="D843" s="5">
        <v>400</v>
      </c>
      <c r="E843" s="4" t="str">
        <f>"Funcionário"</f>
        <v>Funcionário</v>
      </c>
    </row>
    <row r="844" spans="1:5">
      <c r="A844" s="4" t="str">
        <f t="shared" si="68"/>
        <v>4</v>
      </c>
      <c r="B844" s="4" t="str">
        <f>"FRANCISCO CARLOS TEIXEIRA"</f>
        <v>FRANCISCO CARLOS TEIXEIRA</v>
      </c>
      <c r="C844" s="4" t="str">
        <f>"ENGENHEIRO"</f>
        <v>ENGENHEIRO</v>
      </c>
      <c r="D844" s="5">
        <v>400</v>
      </c>
      <c r="E844" s="4" t="str">
        <f>"Funcionário"</f>
        <v>Funcionário</v>
      </c>
    </row>
    <row r="845" spans="1:5">
      <c r="A845" s="4" t="str">
        <f t="shared" si="68"/>
        <v>4</v>
      </c>
      <c r="B845" s="4" t="str">
        <f>"FREDERICO GOMES GUEDES DA SILVA"</f>
        <v>FREDERICO GOMES GUEDES DA SILVA</v>
      </c>
      <c r="C845" s="4" t="str">
        <f>"ENGENHEIRO"</f>
        <v>ENGENHEIRO</v>
      </c>
      <c r="D845" s="5">
        <v>400</v>
      </c>
      <c r="E845" s="4" t="str">
        <f>"Funcionário"</f>
        <v>Funcionário</v>
      </c>
    </row>
    <row r="846" spans="1:5">
      <c r="A846" s="4" t="str">
        <f t="shared" si="68"/>
        <v>4</v>
      </c>
      <c r="B846" s="4" t="str">
        <f>"GABRIEL DRAGO PERONI"</f>
        <v>GABRIEL DRAGO PERONI</v>
      </c>
      <c r="C846" s="4" t="str">
        <f>"ENGENHEIRO"</f>
        <v>ENGENHEIRO</v>
      </c>
      <c r="D846" s="5">
        <v>400</v>
      </c>
      <c r="E846" s="4" t="str">
        <f>"Funcionário"</f>
        <v>Funcionário</v>
      </c>
    </row>
    <row r="847" spans="1:5">
      <c r="A847" s="4" t="str">
        <f t="shared" si="68"/>
        <v>4</v>
      </c>
      <c r="B847" s="4" t="str">
        <f>"GABRIEL FREIRE FERREIRA"</f>
        <v>GABRIEL FREIRE FERREIRA</v>
      </c>
      <c r="C847" s="4" t="str">
        <f>"Estagiario"</f>
        <v>Estagiario</v>
      </c>
      <c r="D847" s="5">
        <v>402</v>
      </c>
      <c r="E847" s="4" t="str">
        <f>"Estagiário"</f>
        <v>Estagiário</v>
      </c>
    </row>
    <row r="848" spans="1:5">
      <c r="A848" s="4" t="str">
        <f t="shared" si="68"/>
        <v>4</v>
      </c>
      <c r="B848" s="4" t="str">
        <f>"GABRIEL MARTINS LIMA"</f>
        <v>GABRIEL MARTINS LIMA</v>
      </c>
      <c r="C848" s="4" t="str">
        <f>"ENGENHEIRO"</f>
        <v>ENGENHEIRO</v>
      </c>
      <c r="D848" s="5">
        <v>400</v>
      </c>
      <c r="E848" s="4" t="str">
        <f>"Funcionário"</f>
        <v>Funcionário</v>
      </c>
    </row>
    <row r="849" spans="1:5">
      <c r="A849" s="4" t="str">
        <f t="shared" si="68"/>
        <v>4</v>
      </c>
      <c r="B849" s="4" t="str">
        <f>"GABRIEL MOREIRA GONÇALVES"</f>
        <v>GABRIEL MOREIRA GONÇALVES</v>
      </c>
      <c r="C849" s="4" t="str">
        <f>"MILITAR DA ATIVA"</f>
        <v>MILITAR DA ATIVA</v>
      </c>
      <c r="D849" s="5">
        <v>919</v>
      </c>
      <c r="E849" s="4" t="str">
        <f>"Funcionário"</f>
        <v>Funcionário</v>
      </c>
    </row>
    <row r="850" spans="1:5">
      <c r="A850" s="4" t="str">
        <f t="shared" si="68"/>
        <v>4</v>
      </c>
      <c r="B850" s="4" t="str">
        <f>"GABRIEL RIBEIRO FERREIRA"</f>
        <v>GABRIEL RIBEIRO FERREIRA</v>
      </c>
      <c r="C850" s="4" t="str">
        <f>"TEC INDUSTRIAL ESPECIALIZADO"</f>
        <v>TEC INDUSTRIAL ESPECIALIZADO</v>
      </c>
      <c r="D850" s="5">
        <v>400</v>
      </c>
      <c r="E850" s="4" t="str">
        <f>"Funcionário"</f>
        <v>Funcionário</v>
      </c>
    </row>
    <row r="851" spans="1:5">
      <c r="A851" s="4" t="str">
        <f t="shared" si="68"/>
        <v>4</v>
      </c>
      <c r="B851" s="4" t="str">
        <f>"GEOVANNA GONZAGA GERALDO"</f>
        <v>GEOVANNA GONZAGA GERALDO</v>
      </c>
      <c r="C851" s="4" t="str">
        <f>"Estagiario"</f>
        <v>Estagiario</v>
      </c>
      <c r="D851" s="5">
        <v>402</v>
      </c>
      <c r="E851" s="4" t="str">
        <f>"Estagiário"</f>
        <v>Estagiário</v>
      </c>
    </row>
    <row r="852" spans="1:5">
      <c r="A852" s="4" t="str">
        <f t="shared" si="68"/>
        <v>4</v>
      </c>
      <c r="B852" s="4" t="str">
        <f>"GILDEX BATISTA DA SILVA"</f>
        <v>GILDEX BATISTA DA SILVA</v>
      </c>
      <c r="C852" s="4" t="str">
        <f>"AGENTE DE APOIO OPERACIONAL"</f>
        <v>AGENTE DE APOIO OPERACIONAL</v>
      </c>
      <c r="D852" s="5">
        <v>400</v>
      </c>
      <c r="E852" s="4" t="str">
        <f t="shared" ref="E852:E857" si="70">"Funcionário"</f>
        <v>Funcionário</v>
      </c>
    </row>
    <row r="853" spans="1:5">
      <c r="A853" s="4" t="str">
        <f t="shared" si="68"/>
        <v>4</v>
      </c>
      <c r="B853" s="4" t="str">
        <f>"GILSON ANDRE DE JESUS"</f>
        <v>GILSON ANDRE DE JESUS</v>
      </c>
      <c r="C853" s="4" t="str">
        <f>"AGENTE DE APOIO OPERACIONAL"</f>
        <v>AGENTE DE APOIO OPERACIONAL</v>
      </c>
      <c r="D853" s="5">
        <v>400</v>
      </c>
      <c r="E853" s="4" t="str">
        <f t="shared" si="70"/>
        <v>Funcionário</v>
      </c>
    </row>
    <row r="854" spans="1:5">
      <c r="A854" s="4" t="str">
        <f t="shared" si="68"/>
        <v>4</v>
      </c>
      <c r="B854" s="4" t="str">
        <f>"GIOVANA GOMES DA SILVA"</f>
        <v>GIOVANA GOMES DA SILVA</v>
      </c>
      <c r="C854" s="4" t="str">
        <f>"TECNICO ADM ESPECIALIZADO"</f>
        <v>TECNICO ADM ESPECIALIZADO</v>
      </c>
      <c r="D854" s="5">
        <v>400</v>
      </c>
      <c r="E854" s="4" t="str">
        <f t="shared" si="70"/>
        <v>Funcionário</v>
      </c>
    </row>
    <row r="855" spans="1:5">
      <c r="A855" s="4" t="str">
        <f t="shared" si="68"/>
        <v>4</v>
      </c>
      <c r="B855" s="4" t="str">
        <f>"GIUSEPPE MARTINS GENTILE"</f>
        <v>GIUSEPPE MARTINS GENTILE</v>
      </c>
      <c r="C855" s="4" t="str">
        <f>"TECNICO ADM ESPECIALIZADO"</f>
        <v>TECNICO ADM ESPECIALIZADO</v>
      </c>
      <c r="D855" s="5">
        <v>400</v>
      </c>
      <c r="E855" s="4" t="str">
        <f t="shared" si="70"/>
        <v>Funcionário</v>
      </c>
    </row>
    <row r="856" spans="1:5">
      <c r="A856" s="4" t="str">
        <f t="shared" si="68"/>
        <v>4</v>
      </c>
      <c r="B856" s="4" t="str">
        <f>"GUSTAVO LIMA LOSS"</f>
        <v>GUSTAVO LIMA LOSS</v>
      </c>
      <c r="C856" s="4" t="str">
        <f>"MILITAR DA ATIVA"</f>
        <v>MILITAR DA ATIVA</v>
      </c>
      <c r="D856" s="5">
        <v>919</v>
      </c>
      <c r="E856" s="4" t="str">
        <f t="shared" si="70"/>
        <v>Funcionário</v>
      </c>
    </row>
    <row r="857" spans="1:5">
      <c r="A857" s="4" t="str">
        <f t="shared" si="68"/>
        <v>4</v>
      </c>
      <c r="B857" s="4" t="str">
        <f>"HELIUS SANTOS DA CRUZ"</f>
        <v>HELIUS SANTOS DA CRUZ</v>
      </c>
      <c r="C857" s="4" t="str">
        <f>"ENGENHEIRO"</f>
        <v>ENGENHEIRO</v>
      </c>
      <c r="D857" s="5">
        <v>400</v>
      </c>
      <c r="E857" s="4" t="str">
        <f t="shared" si="70"/>
        <v>Funcionário</v>
      </c>
    </row>
    <row r="858" spans="1:5">
      <c r="A858" s="4" t="str">
        <f t="shared" si="68"/>
        <v>4</v>
      </c>
      <c r="B858" s="4" t="str">
        <f>"HELOISA HELENA DE OLIVEIRA"</f>
        <v>HELOISA HELENA DE OLIVEIRA</v>
      </c>
      <c r="C858" s="4" t="str">
        <f>"OFICIAL DE PRODUCAO INDUSTRIAL"</f>
        <v>OFICIAL DE PRODUCAO INDUSTRIAL</v>
      </c>
      <c r="D858" s="5">
        <v>400</v>
      </c>
      <c r="E858" s="4" t="str">
        <f>"Aposentado"</f>
        <v>Aposentado</v>
      </c>
    </row>
    <row r="859" spans="1:5">
      <c r="A859" s="4" t="str">
        <f t="shared" ref="A859:A890" si="71">"4"</f>
        <v>4</v>
      </c>
      <c r="B859" s="4" t="str">
        <f>"HENRIQUE WANNER ANTUNES S. DE SOUSA"</f>
        <v>HENRIQUE WANNER ANTUNES S. DE SOUSA</v>
      </c>
      <c r="C859" s="4" t="str">
        <f>"MILITAR DA ATIVA"</f>
        <v>MILITAR DA ATIVA</v>
      </c>
      <c r="D859" s="5">
        <v>919</v>
      </c>
      <c r="E859" s="4" t="str">
        <f t="shared" ref="E859:E864" si="72">"Funcionário"</f>
        <v>Funcionário</v>
      </c>
    </row>
    <row r="860" spans="1:5">
      <c r="A860" s="4" t="str">
        <f t="shared" si="71"/>
        <v>4</v>
      </c>
      <c r="B860" s="4" t="str">
        <f>"HILTON AMARO COELHO"</f>
        <v>HILTON AMARO COELHO</v>
      </c>
      <c r="C860" s="4" t="str">
        <f>"OFICIAL DE PRODUCAO INDUSTRIAL"</f>
        <v>OFICIAL DE PRODUCAO INDUSTRIAL</v>
      </c>
      <c r="D860" s="5">
        <v>400</v>
      </c>
      <c r="E860" s="4" t="str">
        <f t="shared" si="72"/>
        <v>Funcionário</v>
      </c>
    </row>
    <row r="861" spans="1:5">
      <c r="A861" s="4" t="str">
        <f t="shared" si="71"/>
        <v>4</v>
      </c>
      <c r="B861" s="4" t="str">
        <f>"HUMBERTO AMARAL DE CAMPOS"</f>
        <v>HUMBERTO AMARAL DE CAMPOS</v>
      </c>
      <c r="C861" s="4" t="str">
        <f>"OFICIAL DE PRODUCAO INDUSTRIAL"</f>
        <v>OFICIAL DE PRODUCAO INDUSTRIAL</v>
      </c>
      <c r="D861" s="5">
        <v>400</v>
      </c>
      <c r="E861" s="4" t="str">
        <f t="shared" si="72"/>
        <v>Funcionário</v>
      </c>
    </row>
    <row r="862" spans="1:5">
      <c r="A862" s="4" t="str">
        <f t="shared" si="71"/>
        <v>4</v>
      </c>
      <c r="B862" s="4" t="str">
        <f>"HUMBERTO RODRIGUES MENEZES JUNIOR"</f>
        <v>HUMBERTO RODRIGUES MENEZES JUNIOR</v>
      </c>
      <c r="C862" s="4" t="str">
        <f>"ENGENHEIRO"</f>
        <v>ENGENHEIRO</v>
      </c>
      <c r="D862" s="5">
        <v>400</v>
      </c>
      <c r="E862" s="4" t="str">
        <f t="shared" si="72"/>
        <v>Funcionário</v>
      </c>
    </row>
    <row r="863" spans="1:5">
      <c r="A863" s="4" t="str">
        <f t="shared" si="71"/>
        <v>4</v>
      </c>
      <c r="B863" s="4" t="str">
        <f>"IGOR MINA DA SILVA"</f>
        <v>IGOR MINA DA SILVA</v>
      </c>
      <c r="C863" s="4" t="str">
        <f>"TECNICO ADM ESPECIALIZADO"</f>
        <v>TECNICO ADM ESPECIALIZADO</v>
      </c>
      <c r="D863" s="5">
        <v>400</v>
      </c>
      <c r="E863" s="4" t="str">
        <f t="shared" si="72"/>
        <v>Funcionário</v>
      </c>
    </row>
    <row r="864" spans="1:5">
      <c r="A864" s="4" t="str">
        <f t="shared" si="71"/>
        <v>4</v>
      </c>
      <c r="B864" s="4" t="str">
        <f>"ILDEMAR SILVA RIBEIRO"</f>
        <v>ILDEMAR SILVA RIBEIRO</v>
      </c>
      <c r="C864" s="4" t="str">
        <f>"GUARDA DE SEG. PATRIMONIAL"</f>
        <v>GUARDA DE SEG. PATRIMONIAL</v>
      </c>
      <c r="D864" s="5">
        <v>400</v>
      </c>
      <c r="E864" s="4" t="str">
        <f t="shared" si="72"/>
        <v>Funcionário</v>
      </c>
    </row>
    <row r="865" spans="1:5">
      <c r="A865" s="4" t="str">
        <f t="shared" si="71"/>
        <v>4</v>
      </c>
      <c r="B865" s="4" t="str">
        <f>"JASON RIBEIRO JUNIOR"</f>
        <v>JASON RIBEIRO JUNIOR</v>
      </c>
      <c r="C865" s="4" t="str">
        <f>"AUX TECNICO ADMINISTRATIVO"</f>
        <v>AUX TECNICO ADMINISTRATIVO</v>
      </c>
      <c r="D865" s="5">
        <v>400</v>
      </c>
      <c r="E865" s="4" t="str">
        <f>"Aposentado"</f>
        <v>Aposentado</v>
      </c>
    </row>
    <row r="866" spans="1:5">
      <c r="A866" s="4" t="str">
        <f t="shared" si="71"/>
        <v>4</v>
      </c>
      <c r="B866" s="4" t="str">
        <f>"JEFFERSON LISBOA PEREIRA"</f>
        <v>JEFFERSON LISBOA PEREIRA</v>
      </c>
      <c r="C866" s="4" t="str">
        <f>"ANALISTA ESPECIALIZADO"</f>
        <v>ANALISTA ESPECIALIZADO</v>
      </c>
      <c r="D866" s="5">
        <v>400</v>
      </c>
      <c r="E866" s="4" t="str">
        <f>"Funcionário"</f>
        <v>Funcionário</v>
      </c>
    </row>
    <row r="867" spans="1:5">
      <c r="A867" s="4" t="str">
        <f t="shared" si="71"/>
        <v>4</v>
      </c>
      <c r="B867" s="4" t="str">
        <f>"JOAO GONCALVES GOULART"</f>
        <v>JOAO GONCALVES GOULART</v>
      </c>
      <c r="C867" s="4" t="str">
        <f>"AUXILIAR TECNICO INDUSTRIAL"</f>
        <v>AUXILIAR TECNICO INDUSTRIAL</v>
      </c>
      <c r="D867" s="5">
        <v>400</v>
      </c>
      <c r="E867" s="4" t="str">
        <f>"Funcionário"</f>
        <v>Funcionário</v>
      </c>
    </row>
    <row r="868" spans="1:5">
      <c r="A868" s="4" t="str">
        <f t="shared" si="71"/>
        <v>4</v>
      </c>
      <c r="B868" s="4" t="str">
        <f>"JOEL LIMA SILVA"</f>
        <v>JOEL LIMA SILVA</v>
      </c>
      <c r="C868" s="4" t="str">
        <f>"MOTORISTA"</f>
        <v>MOTORISTA</v>
      </c>
      <c r="D868" s="5">
        <v>400</v>
      </c>
      <c r="E868" s="4" t="str">
        <f>"Aposentado"</f>
        <v>Aposentado</v>
      </c>
    </row>
    <row r="869" spans="1:5">
      <c r="A869" s="4" t="str">
        <f t="shared" si="71"/>
        <v>4</v>
      </c>
      <c r="B869" s="4" t="str">
        <f>"JOHNATHAN MATTOS DO AMARAL"</f>
        <v>JOHNATHAN MATTOS DO AMARAL</v>
      </c>
      <c r="C869" s="4" t="str">
        <f>"OFICIAL DE PRODUCAO INDUSTRIAL"</f>
        <v>OFICIAL DE PRODUCAO INDUSTRIAL</v>
      </c>
      <c r="D869" s="5">
        <v>400</v>
      </c>
      <c r="E869" s="4" t="str">
        <f>"Funcionário"</f>
        <v>Funcionário</v>
      </c>
    </row>
    <row r="870" spans="1:5">
      <c r="A870" s="4" t="str">
        <f t="shared" si="71"/>
        <v>4</v>
      </c>
      <c r="B870" s="4" t="str">
        <f>"JOHNNY VERISSIMO PINTO"</f>
        <v>JOHNNY VERISSIMO PINTO</v>
      </c>
      <c r="C870" s="4" t="str">
        <f>"TEC INDUSTRIAL ESPECIALIZADO"</f>
        <v>TEC INDUSTRIAL ESPECIALIZADO</v>
      </c>
      <c r="D870" s="5">
        <v>400</v>
      </c>
      <c r="E870" s="4" t="str">
        <f>"Funcionário"</f>
        <v>Funcionário</v>
      </c>
    </row>
    <row r="871" spans="1:5">
      <c r="A871" s="4" t="str">
        <f t="shared" si="71"/>
        <v>4</v>
      </c>
      <c r="B871" s="4" t="str">
        <f>"JOSE CARLOS ANDRADE FONA"</f>
        <v>JOSE CARLOS ANDRADE FONA</v>
      </c>
      <c r="C871" s="4" t="str">
        <f>"ENGENHEIRO"</f>
        <v>ENGENHEIRO</v>
      </c>
      <c r="D871" s="5">
        <v>400</v>
      </c>
      <c r="E871" s="4" t="str">
        <f>"Funcionário"</f>
        <v>Funcionário</v>
      </c>
    </row>
    <row r="872" spans="1:5">
      <c r="A872" s="4" t="str">
        <f t="shared" si="71"/>
        <v>4</v>
      </c>
      <c r="B872" s="4" t="str">
        <f>"JOSE MARCIO PEIXOTO DE OLIVEIRA"</f>
        <v>JOSE MARCIO PEIXOTO DE OLIVEIRA</v>
      </c>
      <c r="C872" s="4" t="str">
        <f>"ENGENHEIRO"</f>
        <v>ENGENHEIRO</v>
      </c>
      <c r="D872" s="5">
        <v>400</v>
      </c>
      <c r="E872" s="4" t="str">
        <f>"Aposentado"</f>
        <v>Aposentado</v>
      </c>
    </row>
    <row r="873" spans="1:5">
      <c r="A873" s="4" t="str">
        <f t="shared" si="71"/>
        <v>4</v>
      </c>
      <c r="B873" s="4" t="str">
        <f>"JOSE SERPA"</f>
        <v>JOSE SERPA</v>
      </c>
      <c r="C873" s="4" t="str">
        <f>"OF FERRAMENTARIA INDUSTRIAL"</f>
        <v>OF FERRAMENTARIA INDUSTRIAL</v>
      </c>
      <c r="D873" s="5">
        <v>400</v>
      </c>
      <c r="E873" s="4" t="str">
        <f t="shared" ref="E873:E879" si="73">"Funcionário"</f>
        <v>Funcionário</v>
      </c>
    </row>
    <row r="874" spans="1:5">
      <c r="A874" s="4" t="str">
        <f t="shared" si="71"/>
        <v>4</v>
      </c>
      <c r="B874" s="4" t="str">
        <f>"KELLY CRISTINE COELHO DE SOUZA DE LIMA"</f>
        <v>KELLY CRISTINE COELHO DE SOUZA DE LIMA</v>
      </c>
      <c r="C874" s="4" t="str">
        <f>"ENGENHEIRO"</f>
        <v>ENGENHEIRO</v>
      </c>
      <c r="D874" s="5">
        <v>400</v>
      </c>
      <c r="E874" s="4" t="str">
        <f t="shared" si="73"/>
        <v>Funcionário</v>
      </c>
    </row>
    <row r="875" spans="1:5">
      <c r="A875" s="4" t="str">
        <f t="shared" si="71"/>
        <v>4</v>
      </c>
      <c r="B875" s="4" t="str">
        <f>"LEANDRO PEREIRA DE SOUZA"</f>
        <v>LEANDRO PEREIRA DE SOUZA</v>
      </c>
      <c r="C875" s="4" t="str">
        <f>"MOTORISTA"</f>
        <v>MOTORISTA</v>
      </c>
      <c r="D875" s="5">
        <v>400</v>
      </c>
      <c r="E875" s="4" t="str">
        <f t="shared" si="73"/>
        <v>Funcionário</v>
      </c>
    </row>
    <row r="876" spans="1:5">
      <c r="A876" s="4" t="str">
        <f t="shared" si="71"/>
        <v>4</v>
      </c>
      <c r="B876" s="4" t="str">
        <f>"LEANDRO RODRIGUES GUIMARÃES"</f>
        <v>LEANDRO RODRIGUES GUIMARÃES</v>
      </c>
      <c r="C876" s="4" t="str">
        <f>"ENGENHEIRO"</f>
        <v>ENGENHEIRO</v>
      </c>
      <c r="D876" s="5">
        <v>400</v>
      </c>
      <c r="E876" s="4" t="str">
        <f t="shared" si="73"/>
        <v>Funcionário</v>
      </c>
    </row>
    <row r="877" spans="1:5">
      <c r="A877" s="4" t="str">
        <f t="shared" si="71"/>
        <v>4</v>
      </c>
      <c r="B877" s="4" t="str">
        <f>"LEONARDO MATOS JUSTINO"</f>
        <v>LEONARDO MATOS JUSTINO</v>
      </c>
      <c r="C877" s="4" t="str">
        <f>"TEC INDUSTRIAL ESPECIALIZADO"</f>
        <v>TEC INDUSTRIAL ESPECIALIZADO</v>
      </c>
      <c r="D877" s="5">
        <v>400</v>
      </c>
      <c r="E877" s="4" t="str">
        <f t="shared" si="73"/>
        <v>Funcionário</v>
      </c>
    </row>
    <row r="878" spans="1:5">
      <c r="A878" s="4" t="str">
        <f t="shared" si="71"/>
        <v>4</v>
      </c>
      <c r="B878" s="4" t="str">
        <f>"LIEDSON OLIVEIRA DOS SANTOS"</f>
        <v>LIEDSON OLIVEIRA DOS SANTOS</v>
      </c>
      <c r="C878" s="4" t="str">
        <f>"ENGENHEIRO"</f>
        <v>ENGENHEIRO</v>
      </c>
      <c r="D878" s="5">
        <v>400</v>
      </c>
      <c r="E878" s="4" t="str">
        <f t="shared" si="73"/>
        <v>Funcionário</v>
      </c>
    </row>
    <row r="879" spans="1:5">
      <c r="A879" s="4" t="str">
        <f t="shared" si="71"/>
        <v>4</v>
      </c>
      <c r="B879" s="4" t="str">
        <f>"LUCAS MACHADO COUTO BEZERRA"</f>
        <v>LUCAS MACHADO COUTO BEZERRA</v>
      </c>
      <c r="C879" s="4" t="str">
        <f>"MILITAR DA ATIVA"</f>
        <v>MILITAR DA ATIVA</v>
      </c>
      <c r="D879" s="5">
        <v>919</v>
      </c>
      <c r="E879" s="4" t="str">
        <f t="shared" si="73"/>
        <v>Funcionário</v>
      </c>
    </row>
    <row r="880" spans="1:5">
      <c r="A880" s="4" t="str">
        <f t="shared" si="71"/>
        <v>4</v>
      </c>
      <c r="B880" s="4" t="str">
        <f>"LUCIANO DE CASTRO MARINHO"</f>
        <v>LUCIANO DE CASTRO MARINHO</v>
      </c>
      <c r="C880" s="4" t="str">
        <f>"OFICIAL DE PRODUÇÃO INDUSTRIAL"</f>
        <v>OFICIAL DE PRODUÇÃO INDUSTRIAL</v>
      </c>
      <c r="D880" s="5">
        <v>400</v>
      </c>
      <c r="E880" s="4" t="str">
        <f>"Aposentado"</f>
        <v>Aposentado</v>
      </c>
    </row>
    <row r="881" spans="1:5">
      <c r="A881" s="4" t="str">
        <f t="shared" si="71"/>
        <v>4</v>
      </c>
      <c r="B881" s="4" t="str">
        <f>"LUCIENE COELHO DE SOUZA SOARES"</f>
        <v>LUCIENE COELHO DE SOUZA SOARES</v>
      </c>
      <c r="C881" s="4" t="str">
        <f>"AUX TECNICO ADMINISTRATIVO"</f>
        <v>AUX TECNICO ADMINISTRATIVO</v>
      </c>
      <c r="D881" s="5">
        <v>400</v>
      </c>
      <c r="E881" s="4" t="str">
        <f t="shared" ref="E881:E886" si="74">"Funcionário"</f>
        <v>Funcionário</v>
      </c>
    </row>
    <row r="882" spans="1:5">
      <c r="A882" s="4" t="str">
        <f t="shared" si="71"/>
        <v>4</v>
      </c>
      <c r="B882" s="4" t="str">
        <f>"LUIS GUILHERME PIRES DE ARAGÃO"</f>
        <v>LUIS GUILHERME PIRES DE ARAGÃO</v>
      </c>
      <c r="C882" s="4" t="str">
        <f>"ENGENHEIRO"</f>
        <v>ENGENHEIRO</v>
      </c>
      <c r="D882" s="5">
        <v>400</v>
      </c>
      <c r="E882" s="4" t="str">
        <f t="shared" si="74"/>
        <v>Funcionário</v>
      </c>
    </row>
    <row r="883" spans="1:5">
      <c r="A883" s="4" t="str">
        <f t="shared" si="71"/>
        <v>4</v>
      </c>
      <c r="B883" s="4" t="str">
        <f>"LUIZ HENRIQUE BAPTISTA"</f>
        <v>LUIZ HENRIQUE BAPTISTA</v>
      </c>
      <c r="C883" s="4" t="str">
        <f>"OFICIAL DE PRODUCAO INDUSTRIAL"</f>
        <v>OFICIAL DE PRODUCAO INDUSTRIAL</v>
      </c>
      <c r="D883" s="5">
        <v>400</v>
      </c>
      <c r="E883" s="4" t="str">
        <f t="shared" si="74"/>
        <v>Funcionário</v>
      </c>
    </row>
    <row r="884" spans="1:5">
      <c r="A884" s="4" t="str">
        <f t="shared" si="71"/>
        <v>4</v>
      </c>
      <c r="B884" s="4" t="str">
        <f>"MARCELLA BARBOSA DE CARVALHO"</f>
        <v>MARCELLA BARBOSA DE CARVALHO</v>
      </c>
      <c r="C884" s="4" t="str">
        <f>"TECNICO ADM ESPECIALIZADO"</f>
        <v>TECNICO ADM ESPECIALIZADO</v>
      </c>
      <c r="D884" s="5">
        <v>400</v>
      </c>
      <c r="E884" s="4" t="str">
        <f t="shared" si="74"/>
        <v>Funcionário</v>
      </c>
    </row>
    <row r="885" spans="1:5">
      <c r="A885" s="4" t="str">
        <f t="shared" si="71"/>
        <v>4</v>
      </c>
      <c r="B885" s="4" t="str">
        <f>"MARCELO AQUINO DE FREITAS"</f>
        <v>MARCELO AQUINO DE FREITAS</v>
      </c>
      <c r="C885" s="4" t="str">
        <f>"TECNICO ADM ESPECIALIZADO"</f>
        <v>TECNICO ADM ESPECIALIZADO</v>
      </c>
      <c r="D885" s="5">
        <v>400</v>
      </c>
      <c r="E885" s="4" t="str">
        <f t="shared" si="74"/>
        <v>Funcionário</v>
      </c>
    </row>
    <row r="886" spans="1:5">
      <c r="A886" s="4" t="str">
        <f t="shared" si="71"/>
        <v>4</v>
      </c>
      <c r="B886" s="4" t="str">
        <f>"MARCELO NASCIMENTO MOUTINHO"</f>
        <v>MARCELO NASCIMENTO MOUTINHO</v>
      </c>
      <c r="C886" s="4" t="str">
        <f>"ENGENHEIRO"</f>
        <v>ENGENHEIRO</v>
      </c>
      <c r="D886" s="5">
        <v>400</v>
      </c>
      <c r="E886" s="4" t="str">
        <f t="shared" si="74"/>
        <v>Funcionário</v>
      </c>
    </row>
    <row r="887" spans="1:5">
      <c r="A887" s="4" t="str">
        <f t="shared" si="71"/>
        <v>4</v>
      </c>
      <c r="B887" s="4" t="str">
        <f>"MARCOS LIRA SILVA"</f>
        <v>MARCOS LIRA SILVA</v>
      </c>
      <c r="C887" s="4" t="str">
        <f>"TEC INDUSTRIAL ESPECIALIZADO"</f>
        <v>TEC INDUSTRIAL ESPECIALIZADO</v>
      </c>
      <c r="D887" s="5">
        <v>400</v>
      </c>
      <c r="E887" s="4" t="str">
        <f>"Aposentado"</f>
        <v>Aposentado</v>
      </c>
    </row>
    <row r="888" spans="1:5">
      <c r="A888" s="4" t="str">
        <f t="shared" si="71"/>
        <v>4</v>
      </c>
      <c r="B888" s="4" t="str">
        <f>"MARGARIDA SILVA"</f>
        <v>MARGARIDA SILVA</v>
      </c>
      <c r="C888" s="4" t="str">
        <f>"AUX REC HUMANOS I"</f>
        <v>AUX REC HUMANOS I</v>
      </c>
      <c r="D888" s="5">
        <v>400</v>
      </c>
      <c r="E888" s="4" t="str">
        <f>"Funcionário"</f>
        <v>Funcionário</v>
      </c>
    </row>
    <row r="889" spans="1:5">
      <c r="A889" s="4" t="str">
        <f t="shared" si="71"/>
        <v>4</v>
      </c>
      <c r="B889" s="4" t="str">
        <f>"MARIA LETICIA MARTINS KOVASHIKAWA"</f>
        <v>MARIA LETICIA MARTINS KOVASHIKAWA</v>
      </c>
      <c r="C889" s="4" t="str">
        <f>"TECNICO ADM ESPECIALIZADO"</f>
        <v>TECNICO ADM ESPECIALIZADO</v>
      </c>
      <c r="D889" s="5">
        <v>400</v>
      </c>
      <c r="E889" s="4" t="str">
        <f>"Funcionário"</f>
        <v>Funcionário</v>
      </c>
    </row>
    <row r="890" spans="1:5">
      <c r="A890" s="4" t="str">
        <f t="shared" si="71"/>
        <v>4</v>
      </c>
      <c r="B890" s="4" t="str">
        <f>"MARIANA DA COSTA SANTOS"</f>
        <v>MARIANA DA COSTA SANTOS</v>
      </c>
      <c r="C890" s="4" t="str">
        <f>"ENGENHEIRO"</f>
        <v>ENGENHEIRO</v>
      </c>
      <c r="D890" s="5">
        <v>400</v>
      </c>
      <c r="E890" s="4" t="str">
        <f>"Funcionário"</f>
        <v>Funcionário</v>
      </c>
    </row>
    <row r="891" spans="1:5">
      <c r="A891" s="4" t="str">
        <f t="shared" ref="A891:A922" si="75">"4"</f>
        <v>4</v>
      </c>
      <c r="B891" s="4" t="str">
        <f>"MAURICIO MARIANO DOS SANTOS"</f>
        <v>MAURICIO MARIANO DOS SANTOS</v>
      </c>
      <c r="C891" s="4" t="str">
        <f>"AUX TECNICO ADMINISTRATIVO"</f>
        <v>AUX TECNICO ADMINISTRATIVO</v>
      </c>
      <c r="D891" s="5">
        <v>400</v>
      </c>
      <c r="E891" s="4" t="str">
        <f>"Funcionário"</f>
        <v>Funcionário</v>
      </c>
    </row>
    <row r="892" spans="1:5">
      <c r="A892" s="4" t="str">
        <f t="shared" si="75"/>
        <v>4</v>
      </c>
      <c r="B892" s="4" t="str">
        <f>"MAURICIO MARQUES PINTO"</f>
        <v>MAURICIO MARQUES PINTO</v>
      </c>
      <c r="C892" s="4" t="str">
        <f>"ASSESSOR CHEFE I"</f>
        <v>ASSESSOR CHEFE I</v>
      </c>
      <c r="D892" s="5">
        <v>401</v>
      </c>
      <c r="E892" s="4" t="str">
        <f>"Funcionário"</f>
        <v>Funcionário</v>
      </c>
    </row>
    <row r="893" spans="1:5">
      <c r="A893" s="4" t="str">
        <f t="shared" si="75"/>
        <v>4</v>
      </c>
      <c r="B893" s="4" t="str">
        <f>"MIGUEL PEREIRA FILHO"</f>
        <v>MIGUEL PEREIRA FILHO</v>
      </c>
      <c r="C893" s="4" t="str">
        <f>"AUX TECNICO ADMINISTRATIVO"</f>
        <v>AUX TECNICO ADMINISTRATIVO</v>
      </c>
      <c r="D893" s="5">
        <v>400</v>
      </c>
      <c r="E893" s="4" t="str">
        <f>"Aposentado"</f>
        <v>Aposentado</v>
      </c>
    </row>
    <row r="894" spans="1:5">
      <c r="A894" s="4" t="str">
        <f t="shared" si="75"/>
        <v>4</v>
      </c>
      <c r="B894" s="4" t="str">
        <f>"NICOLAS SOUZA DE MELO M DE OLIVEIRA"</f>
        <v>NICOLAS SOUZA DE MELO M DE OLIVEIRA</v>
      </c>
      <c r="C894" s="4" t="str">
        <f>"MILITAR DA ATIVA"</f>
        <v>MILITAR DA ATIVA</v>
      </c>
      <c r="D894" s="5">
        <v>919</v>
      </c>
      <c r="E894" s="4" t="str">
        <f>"Funcionário"</f>
        <v>Funcionário</v>
      </c>
    </row>
    <row r="895" spans="1:5">
      <c r="A895" s="4" t="str">
        <f t="shared" si="75"/>
        <v>4</v>
      </c>
      <c r="B895" s="4" t="str">
        <f>"NICOLLE VITÓRIA COSTA DE VASCONCELOS"</f>
        <v>NICOLLE VITÓRIA COSTA DE VASCONCELOS</v>
      </c>
      <c r="C895" s="4" t="str">
        <f>"MILITAR DA ATIVA"</f>
        <v>MILITAR DA ATIVA</v>
      </c>
      <c r="D895" s="5">
        <v>919</v>
      </c>
      <c r="E895" s="4" t="str">
        <f>"Funcionário"</f>
        <v>Funcionário</v>
      </c>
    </row>
    <row r="896" spans="1:5">
      <c r="A896" s="4" t="str">
        <f t="shared" si="75"/>
        <v>4</v>
      </c>
      <c r="B896" s="4" t="str">
        <f>"PATRICIA ROSARIA DE OLIVEIRA LOPES"</f>
        <v>PATRICIA ROSARIA DE OLIVEIRA LOPES</v>
      </c>
      <c r="C896" s="4" t="str">
        <f>"ANALISTA ESPECIALIZADO"</f>
        <v>ANALISTA ESPECIALIZADO</v>
      </c>
      <c r="D896" s="5">
        <v>400</v>
      </c>
      <c r="E896" s="4" t="str">
        <f>"Funcionário"</f>
        <v>Funcionário</v>
      </c>
    </row>
    <row r="897" spans="1:5">
      <c r="A897" s="4" t="str">
        <f t="shared" si="75"/>
        <v>4</v>
      </c>
      <c r="B897" s="4" t="str">
        <f>"PAULO ROBERTO GONCALVES DA SILVA"</f>
        <v>PAULO ROBERTO GONCALVES DA SILVA</v>
      </c>
      <c r="C897" s="4" t="str">
        <f>"TEC INDUSTRIAL ESPECIALIZADO"</f>
        <v>TEC INDUSTRIAL ESPECIALIZADO</v>
      </c>
      <c r="D897" s="5">
        <v>400</v>
      </c>
      <c r="E897" s="4" t="str">
        <f>"Aposentado"</f>
        <v>Aposentado</v>
      </c>
    </row>
    <row r="898" spans="1:5">
      <c r="A898" s="4" t="str">
        <f t="shared" si="75"/>
        <v>4</v>
      </c>
      <c r="B898" s="4" t="str">
        <f>"PEDRO DE LEÃO CAIUBY"</f>
        <v>PEDRO DE LEÃO CAIUBY</v>
      </c>
      <c r="C898" s="4" t="str">
        <f>"ANALISTA ESPECIALIZADO"</f>
        <v>ANALISTA ESPECIALIZADO</v>
      </c>
      <c r="D898" s="5">
        <v>400</v>
      </c>
      <c r="E898" s="4" t="str">
        <f>"Funcionário"</f>
        <v>Funcionário</v>
      </c>
    </row>
    <row r="899" spans="1:5">
      <c r="A899" s="4" t="str">
        <f t="shared" si="75"/>
        <v>4</v>
      </c>
      <c r="B899" s="4" t="str">
        <f>"PERICLES REZENDE DE LIMA"</f>
        <v>PERICLES REZENDE DE LIMA</v>
      </c>
      <c r="C899" s="4" t="str">
        <f>"TEC INDUSTRIAL ESPECIALIZADO"</f>
        <v>TEC INDUSTRIAL ESPECIALIZADO</v>
      </c>
      <c r="D899" s="5">
        <v>400</v>
      </c>
      <c r="E899" s="4" t="str">
        <f>"Aposentado"</f>
        <v>Aposentado</v>
      </c>
    </row>
    <row r="900" spans="1:5">
      <c r="A900" s="4" t="str">
        <f t="shared" si="75"/>
        <v>4</v>
      </c>
      <c r="B900" s="4" t="str">
        <f>"RAFAEL AUGUSTO CUNHA DE LEMOS"</f>
        <v>RAFAEL AUGUSTO CUNHA DE LEMOS</v>
      </c>
      <c r="C900" s="4" t="str">
        <f>"TECNICO ADM ESPECIALIZADO"</f>
        <v>TECNICO ADM ESPECIALIZADO</v>
      </c>
      <c r="D900" s="5">
        <v>400</v>
      </c>
      <c r="E900" s="4" t="str">
        <f t="shared" ref="E900:E905" si="76">"Funcionário"</f>
        <v>Funcionário</v>
      </c>
    </row>
    <row r="901" spans="1:5">
      <c r="A901" s="4" t="str">
        <f t="shared" si="75"/>
        <v>4</v>
      </c>
      <c r="B901" s="4" t="str">
        <f>"RAFAEL SANTOS DE SOUZA"</f>
        <v>RAFAEL SANTOS DE SOUZA</v>
      </c>
      <c r="C901" s="4" t="str">
        <f>"ENGENHEIRO"</f>
        <v>ENGENHEIRO</v>
      </c>
      <c r="D901" s="5">
        <v>400</v>
      </c>
      <c r="E901" s="4" t="str">
        <f t="shared" si="76"/>
        <v>Funcionário</v>
      </c>
    </row>
    <row r="902" spans="1:5">
      <c r="A902" s="4" t="str">
        <f t="shared" si="75"/>
        <v>4</v>
      </c>
      <c r="B902" s="4" t="str">
        <f>"RAMON ANTUNES VIEIRA"</f>
        <v>RAMON ANTUNES VIEIRA</v>
      </c>
      <c r="C902" s="4" t="str">
        <f>"ENGENHEIRO"</f>
        <v>ENGENHEIRO</v>
      </c>
      <c r="D902" s="5">
        <v>400</v>
      </c>
      <c r="E902" s="4" t="str">
        <f t="shared" si="76"/>
        <v>Funcionário</v>
      </c>
    </row>
    <row r="903" spans="1:5">
      <c r="A903" s="4" t="str">
        <f t="shared" si="75"/>
        <v>4</v>
      </c>
      <c r="B903" s="4" t="str">
        <f>"RAMON MEDEIROS CLOS"</f>
        <v>RAMON MEDEIROS CLOS</v>
      </c>
      <c r="C903" s="4" t="str">
        <f>"MILITAR DA ATIVA"</f>
        <v>MILITAR DA ATIVA</v>
      </c>
      <c r="D903" s="5">
        <v>919</v>
      </c>
      <c r="E903" s="4" t="str">
        <f t="shared" si="76"/>
        <v>Funcionário</v>
      </c>
    </row>
    <row r="904" spans="1:5">
      <c r="A904" s="4" t="str">
        <f t="shared" si="75"/>
        <v>4</v>
      </c>
      <c r="B904" s="4" t="str">
        <f>"RAPHAEL SENRA DA SILVA CRUZ"</f>
        <v>RAPHAEL SENRA DA SILVA CRUZ</v>
      </c>
      <c r="C904" s="4" t="str">
        <f>"TEC INDUSTRIAL ESPECIALIZADO"</f>
        <v>TEC INDUSTRIAL ESPECIALIZADO</v>
      </c>
      <c r="D904" s="5">
        <v>400</v>
      </c>
      <c r="E904" s="4" t="str">
        <f t="shared" si="76"/>
        <v>Funcionário</v>
      </c>
    </row>
    <row r="905" spans="1:5">
      <c r="A905" s="4" t="str">
        <f t="shared" si="75"/>
        <v>4</v>
      </c>
      <c r="B905" s="4" t="str">
        <f>"RAYLLA ANDRÉ DA ROCHA PAIVA"</f>
        <v>RAYLLA ANDRÉ DA ROCHA PAIVA</v>
      </c>
      <c r="C905" s="4" t="str">
        <f>"OFICIAL DE PRODUCAO INDUSTRIAL"</f>
        <v>OFICIAL DE PRODUCAO INDUSTRIAL</v>
      </c>
      <c r="D905" s="5">
        <v>400</v>
      </c>
      <c r="E905" s="4" t="str">
        <f t="shared" si="76"/>
        <v>Funcionário</v>
      </c>
    </row>
    <row r="906" spans="1:5">
      <c r="A906" s="4" t="str">
        <f t="shared" si="75"/>
        <v>4</v>
      </c>
      <c r="B906" s="4" t="str">
        <f>"REBECA GONÇALVES MOREIRA"</f>
        <v>REBECA GONÇALVES MOREIRA</v>
      </c>
      <c r="C906" s="4" t="str">
        <f>"APRENDIZ- ADMINISTRATIVO"</f>
        <v>APRENDIZ- ADMINISTRATIVO</v>
      </c>
      <c r="D906" s="5">
        <v>403</v>
      </c>
      <c r="E906" s="4" t="str">
        <f>"Aprendiz"</f>
        <v>Aprendiz</v>
      </c>
    </row>
    <row r="907" spans="1:5">
      <c r="A907" s="4" t="str">
        <f t="shared" si="75"/>
        <v>4</v>
      </c>
      <c r="B907" s="4" t="str">
        <f>"RENAN OLIVEIRA DE SOUZA"</f>
        <v>RENAN OLIVEIRA DE SOUZA</v>
      </c>
      <c r="C907" s="4" t="str">
        <f>"ENGENHEIRO"</f>
        <v>ENGENHEIRO</v>
      </c>
      <c r="D907" s="5">
        <v>400</v>
      </c>
      <c r="E907" s="4" t="str">
        <f>"Funcionário"</f>
        <v>Funcionário</v>
      </c>
    </row>
    <row r="908" spans="1:5">
      <c r="A908" s="4" t="str">
        <f t="shared" si="75"/>
        <v>4</v>
      </c>
      <c r="B908" s="4" t="str">
        <f>"RENATA ELISA ALENCAR"</f>
        <v>RENATA ELISA ALENCAR</v>
      </c>
      <c r="C908" s="4" t="str">
        <f>"AUX TECNICO ADMINISTRATIVO"</f>
        <v>AUX TECNICO ADMINISTRATIVO</v>
      </c>
      <c r="D908" s="5">
        <v>400</v>
      </c>
      <c r="E908" s="4" t="str">
        <f>"Funcionário"</f>
        <v>Funcionário</v>
      </c>
    </row>
    <row r="909" spans="1:5">
      <c r="A909" s="4" t="str">
        <f t="shared" si="75"/>
        <v>4</v>
      </c>
      <c r="B909" s="4" t="str">
        <f>"RICARDO ACHA DELLA LIBERA"</f>
        <v>RICARDO ACHA DELLA LIBERA</v>
      </c>
      <c r="C909" s="4" t="str">
        <f>"ENGENHEIRO"</f>
        <v>ENGENHEIRO</v>
      </c>
      <c r="D909" s="5">
        <v>400</v>
      </c>
      <c r="E909" s="4" t="str">
        <f>"Funcionário"</f>
        <v>Funcionário</v>
      </c>
    </row>
    <row r="910" spans="1:5">
      <c r="A910" s="4" t="str">
        <f t="shared" si="75"/>
        <v>4</v>
      </c>
      <c r="B910" s="4" t="str">
        <f>"RICARDO NASCIMENTO ALVES"</f>
        <v>RICARDO NASCIMENTO ALVES</v>
      </c>
      <c r="C910" s="4" t="str">
        <f>"OF FERRAMENTARIA INDUSTRIAL"</f>
        <v>OF FERRAMENTARIA INDUSTRIAL</v>
      </c>
      <c r="D910" s="5">
        <v>400</v>
      </c>
      <c r="E910" s="4" t="str">
        <f>"Aposentado"</f>
        <v>Aposentado</v>
      </c>
    </row>
    <row r="911" spans="1:5">
      <c r="A911" s="4" t="str">
        <f t="shared" si="75"/>
        <v>4</v>
      </c>
      <c r="B911" s="4" t="str">
        <f>"RICARDO PINTO DA SILVA COQUEIRO REIS"</f>
        <v>RICARDO PINTO DA SILVA COQUEIRO REIS</v>
      </c>
      <c r="C911" s="4" t="str">
        <f>"TEC INDUSTRIAL ESPECIALIZADO"</f>
        <v>TEC INDUSTRIAL ESPECIALIZADO</v>
      </c>
      <c r="D911" s="5">
        <v>400</v>
      </c>
      <c r="E911" s="4" t="str">
        <f>"Funcionário"</f>
        <v>Funcionário</v>
      </c>
    </row>
    <row r="912" spans="1:5">
      <c r="A912" s="4" t="str">
        <f t="shared" si="75"/>
        <v>4</v>
      </c>
      <c r="B912" s="4" t="str">
        <f>"ROBERT MOREIRA DA SILVA SALVADOR"</f>
        <v>ROBERT MOREIRA DA SILVA SALVADOR</v>
      </c>
      <c r="C912" s="4" t="str">
        <f>"APRENDIZ- ADMINISTRATIVO"</f>
        <v>APRENDIZ- ADMINISTRATIVO</v>
      </c>
      <c r="D912" s="5">
        <v>403</v>
      </c>
      <c r="E912" s="4" t="str">
        <f>"Aprendiz"</f>
        <v>Aprendiz</v>
      </c>
    </row>
    <row r="913" spans="1:5">
      <c r="A913" s="4" t="str">
        <f t="shared" si="75"/>
        <v>4</v>
      </c>
      <c r="B913" s="4" t="str">
        <f>"ROBERTA JARDIM SOARES BOTELHO"</f>
        <v>ROBERTA JARDIM SOARES BOTELHO</v>
      </c>
      <c r="C913" s="4" t="str">
        <f>"ADVOGADO"</f>
        <v>ADVOGADO</v>
      </c>
      <c r="D913" s="5">
        <v>404</v>
      </c>
      <c r="E913" s="4" t="str">
        <f>"Funcionário"</f>
        <v>Funcionário</v>
      </c>
    </row>
    <row r="914" spans="1:5">
      <c r="A914" s="4" t="str">
        <f t="shared" si="75"/>
        <v>4</v>
      </c>
      <c r="B914" s="4" t="str">
        <f>"ROBERTO LEITE COSTA DA SILVA"</f>
        <v>ROBERTO LEITE COSTA DA SILVA</v>
      </c>
      <c r="C914" s="4" t="str">
        <f>"ANALISTA ESPECIALIZADO"</f>
        <v>ANALISTA ESPECIALIZADO</v>
      </c>
      <c r="D914" s="5">
        <v>400</v>
      </c>
      <c r="E914" s="4" t="str">
        <f>"Aposentado"</f>
        <v>Aposentado</v>
      </c>
    </row>
    <row r="915" spans="1:5">
      <c r="A915" s="4" t="str">
        <f t="shared" si="75"/>
        <v>4</v>
      </c>
      <c r="B915" s="4" t="str">
        <f>"ROBERTO PONTES FILHO"</f>
        <v>ROBERTO PONTES FILHO</v>
      </c>
      <c r="C915" s="4" t="str">
        <f>"ENGENHEIRO"</f>
        <v>ENGENHEIRO</v>
      </c>
      <c r="D915" s="5">
        <v>400</v>
      </c>
      <c r="E915" s="4" t="str">
        <f>"Funcionário"</f>
        <v>Funcionário</v>
      </c>
    </row>
    <row r="916" spans="1:5">
      <c r="A916" s="4" t="str">
        <f t="shared" si="75"/>
        <v>4</v>
      </c>
      <c r="B916" s="4" t="str">
        <f>"ROBSON AUGUSTO ABRANTES"</f>
        <v>ROBSON AUGUSTO ABRANTES</v>
      </c>
      <c r="C916" s="4" t="str">
        <f>"ANALISTA ESPECIALIZADO"</f>
        <v>ANALISTA ESPECIALIZADO</v>
      </c>
      <c r="D916" s="5">
        <v>400</v>
      </c>
      <c r="E916" s="4" t="str">
        <f>"Aposentado"</f>
        <v>Aposentado</v>
      </c>
    </row>
    <row r="917" spans="1:5">
      <c r="A917" s="4" t="str">
        <f t="shared" si="75"/>
        <v>4</v>
      </c>
      <c r="B917" s="4" t="str">
        <f>"RODRIGO BESERRA DE FREITAS"</f>
        <v>RODRIGO BESERRA DE FREITAS</v>
      </c>
      <c r="C917" s="4" t="str">
        <f>"ENGENHEIRO"</f>
        <v>ENGENHEIRO</v>
      </c>
      <c r="D917" s="5">
        <v>400</v>
      </c>
      <c r="E917" s="4" t="str">
        <f>"Funcionário"</f>
        <v>Funcionário</v>
      </c>
    </row>
    <row r="918" spans="1:5">
      <c r="A918" s="4" t="str">
        <f t="shared" si="75"/>
        <v>4</v>
      </c>
      <c r="B918" s="4" t="str">
        <f>"RODRIGO SAMICO BALTER"</f>
        <v>RODRIGO SAMICO BALTER</v>
      </c>
      <c r="C918" s="4" t="str">
        <f>"ENGENHEIRO"</f>
        <v>ENGENHEIRO</v>
      </c>
      <c r="D918" s="5">
        <v>400</v>
      </c>
      <c r="E918" s="4" t="str">
        <f>"Funcionário"</f>
        <v>Funcionário</v>
      </c>
    </row>
    <row r="919" spans="1:5">
      <c r="A919" s="4" t="str">
        <f t="shared" si="75"/>
        <v>4</v>
      </c>
      <c r="B919" s="4" t="str">
        <f>"RONALD BATISTA DOS SANTOS"</f>
        <v>RONALD BATISTA DOS SANTOS</v>
      </c>
      <c r="C919" s="4" t="str">
        <f>"AUXILIAR TECNICO INDUSTRIAL"</f>
        <v>AUXILIAR TECNICO INDUSTRIAL</v>
      </c>
      <c r="D919" s="5">
        <v>400</v>
      </c>
      <c r="E919" s="4" t="str">
        <f>"Funcionário"</f>
        <v>Funcionário</v>
      </c>
    </row>
    <row r="920" spans="1:5">
      <c r="A920" s="4" t="str">
        <f t="shared" si="75"/>
        <v>4</v>
      </c>
      <c r="B920" s="4" t="str">
        <f>"ROSANE MOREIRA DA CRUZ"</f>
        <v>ROSANE MOREIRA DA CRUZ</v>
      </c>
      <c r="C920" s="4" t="str">
        <f>"TECNICO ADM ESPECIALIZADO"</f>
        <v>TECNICO ADM ESPECIALIZADO</v>
      </c>
      <c r="D920" s="5">
        <v>400</v>
      </c>
      <c r="E920" s="4" t="str">
        <f>"Funcionário"</f>
        <v>Funcionário</v>
      </c>
    </row>
    <row r="921" spans="1:5">
      <c r="A921" s="4" t="str">
        <f t="shared" si="75"/>
        <v>4</v>
      </c>
      <c r="B921" s="4" t="str">
        <f>"ROSELENE CUNHA DOS REIS"</f>
        <v>ROSELENE CUNHA DOS REIS</v>
      </c>
      <c r="C921" s="4" t="str">
        <f>"TECNICO ADM ESPECIALIZADO"</f>
        <v>TECNICO ADM ESPECIALIZADO</v>
      </c>
      <c r="D921" s="5">
        <v>400</v>
      </c>
      <c r="E921" s="4" t="str">
        <f>"Funcionário"</f>
        <v>Funcionário</v>
      </c>
    </row>
    <row r="922" spans="1:5">
      <c r="A922" s="4" t="str">
        <f t="shared" si="75"/>
        <v>4</v>
      </c>
      <c r="B922" s="4" t="str">
        <f>"SANCLER WERNER DA SILVA"</f>
        <v>SANCLER WERNER DA SILVA</v>
      </c>
      <c r="C922" s="4" t="str">
        <f>"Estagiario"</f>
        <v>Estagiario</v>
      </c>
      <c r="D922" s="5">
        <v>402</v>
      </c>
      <c r="E922" s="4" t="str">
        <f>"Estagiário"</f>
        <v>Estagiário</v>
      </c>
    </row>
    <row r="923" spans="1:5">
      <c r="A923" s="4" t="str">
        <f t="shared" ref="A923:A937" si="77">"4"</f>
        <v>4</v>
      </c>
      <c r="B923" s="4" t="str">
        <f>"SANDRA HELENA MAIA RIBEIRO"</f>
        <v>SANDRA HELENA MAIA RIBEIRO</v>
      </c>
      <c r="C923" s="4" t="str">
        <f>"TECNICO ADM ESPECIALIZADO"</f>
        <v>TECNICO ADM ESPECIALIZADO</v>
      </c>
      <c r="D923" s="5">
        <v>400</v>
      </c>
      <c r="E923" s="4" t="str">
        <f>"Funcionário"</f>
        <v>Funcionário</v>
      </c>
    </row>
    <row r="924" spans="1:5">
      <c r="A924" s="4" t="str">
        <f t="shared" si="77"/>
        <v>4</v>
      </c>
      <c r="B924" s="4" t="str">
        <f>"SANDRO MACIEL TAVARES DE FARIA"</f>
        <v>SANDRO MACIEL TAVARES DE FARIA</v>
      </c>
      <c r="C924" s="4" t="str">
        <f>"AGENTE DE APOIO OPERACIONAL"</f>
        <v>AGENTE DE APOIO OPERACIONAL</v>
      </c>
      <c r="D924" s="5">
        <v>400</v>
      </c>
      <c r="E924" s="4" t="str">
        <f>"Funcionário"</f>
        <v>Funcionário</v>
      </c>
    </row>
    <row r="925" spans="1:5">
      <c r="A925" s="4" t="str">
        <f t="shared" si="77"/>
        <v>4</v>
      </c>
      <c r="B925" s="4" t="str">
        <f>"SERGIO DA SILVA CUNHA GALVAO"</f>
        <v>SERGIO DA SILVA CUNHA GALVAO</v>
      </c>
      <c r="C925" s="4" t="str">
        <f>"ANALISTA ESPECIALIZADO"</f>
        <v>ANALISTA ESPECIALIZADO</v>
      </c>
      <c r="D925" s="5">
        <v>400</v>
      </c>
      <c r="E925" s="4" t="str">
        <f>"Funcionário"</f>
        <v>Funcionário</v>
      </c>
    </row>
    <row r="926" spans="1:5">
      <c r="A926" s="4" t="str">
        <f t="shared" si="77"/>
        <v>4</v>
      </c>
      <c r="B926" s="4" t="str">
        <f>"SERGIO MENDES DE SOUSA"</f>
        <v>SERGIO MENDES DE SOUSA</v>
      </c>
      <c r="C926" s="4" t="str">
        <f>"TEC INDUSTRIAL ESPECIALIZADO"</f>
        <v>TEC INDUSTRIAL ESPECIALIZADO</v>
      </c>
      <c r="D926" s="5">
        <v>400</v>
      </c>
      <c r="E926" s="4" t="str">
        <f>"Funcionário"</f>
        <v>Funcionário</v>
      </c>
    </row>
    <row r="927" spans="1:5">
      <c r="A927" s="4" t="str">
        <f t="shared" si="77"/>
        <v>4</v>
      </c>
      <c r="B927" s="4" t="str">
        <f>"SERGIO RIBEIRO"</f>
        <v>SERGIO RIBEIRO</v>
      </c>
      <c r="C927" s="4" t="str">
        <f>"ASSESSOR II"</f>
        <v>ASSESSOR II</v>
      </c>
      <c r="D927" s="5">
        <v>401</v>
      </c>
      <c r="E927" s="4" t="str">
        <f>"Funcionário"</f>
        <v>Funcionário</v>
      </c>
    </row>
    <row r="928" spans="1:5">
      <c r="A928" s="4" t="str">
        <f t="shared" si="77"/>
        <v>4</v>
      </c>
      <c r="B928" s="4" t="str">
        <f>"SERGIO RICARDO DORNELLES FERREIRA"</f>
        <v>SERGIO RICARDO DORNELLES FERREIRA</v>
      </c>
      <c r="C928" s="4" t="str">
        <f>"ANALISTA ESPECIALIZADO"</f>
        <v>ANALISTA ESPECIALIZADO</v>
      </c>
      <c r="D928" s="5">
        <v>400</v>
      </c>
      <c r="E928" s="4" t="str">
        <f>"Aposentado"</f>
        <v>Aposentado</v>
      </c>
    </row>
    <row r="929" spans="1:5">
      <c r="A929" s="4" t="str">
        <f t="shared" si="77"/>
        <v>4</v>
      </c>
      <c r="B929" s="4" t="str">
        <f>"THIAGO AGUIAR FLORENCIO LIMA"</f>
        <v>THIAGO AGUIAR FLORENCIO LIMA</v>
      </c>
      <c r="C929" s="4" t="str">
        <f>"TEC INDUSTRIAL ESPECIALIZADO"</f>
        <v>TEC INDUSTRIAL ESPECIALIZADO</v>
      </c>
      <c r="D929" s="5">
        <v>400</v>
      </c>
      <c r="E929" s="4" t="str">
        <f>"Funcionário"</f>
        <v>Funcionário</v>
      </c>
    </row>
    <row r="930" spans="1:5">
      <c r="A930" s="4" t="str">
        <f t="shared" si="77"/>
        <v>4</v>
      </c>
      <c r="B930" s="4" t="str">
        <f>"THIAGO DOS SANTOS"</f>
        <v>THIAGO DOS SANTOS</v>
      </c>
      <c r="C930" s="4" t="str">
        <f>"TEC INDUSTRIAL ESPECIALIZADO"</f>
        <v>TEC INDUSTRIAL ESPECIALIZADO</v>
      </c>
      <c r="D930" s="5">
        <v>400</v>
      </c>
      <c r="E930" s="4" t="str">
        <f>"Funcionário"</f>
        <v>Funcionário</v>
      </c>
    </row>
    <row r="931" spans="1:5">
      <c r="A931" s="4" t="str">
        <f t="shared" si="77"/>
        <v>4</v>
      </c>
      <c r="B931" s="4" t="str">
        <f>"THIAGO RODRIGUES SILVA DA COSTA"</f>
        <v>THIAGO RODRIGUES SILVA DA COSTA</v>
      </c>
      <c r="C931" s="4" t="str">
        <f>"ANALISTA ESPECIALIZADO"</f>
        <v>ANALISTA ESPECIALIZADO</v>
      </c>
      <c r="D931" s="5">
        <v>400</v>
      </c>
      <c r="E931" s="4" t="str">
        <f>"Funcionário"</f>
        <v>Funcionário</v>
      </c>
    </row>
    <row r="932" spans="1:5">
      <c r="A932" s="4" t="str">
        <f t="shared" si="77"/>
        <v>4</v>
      </c>
      <c r="B932" s="4" t="str">
        <f>"TIAGO RAFAEL PAULO"</f>
        <v>TIAGO RAFAEL PAULO</v>
      </c>
      <c r="C932" s="4" t="str">
        <f>"MOTORISTA"</f>
        <v>MOTORISTA</v>
      </c>
      <c r="D932" s="5">
        <v>400</v>
      </c>
      <c r="E932" s="4" t="str">
        <f>"Funcionário"</f>
        <v>Funcionário</v>
      </c>
    </row>
    <row r="933" spans="1:5">
      <c r="A933" s="4" t="str">
        <f t="shared" si="77"/>
        <v>4</v>
      </c>
      <c r="B933" s="4" t="str">
        <f>"VANDERLEI DE FREITAS CORAGEM"</f>
        <v>VANDERLEI DE FREITAS CORAGEM</v>
      </c>
      <c r="C933" s="4" t="str">
        <f>"ELETRICISTA DE MANUT. I"</f>
        <v>ELETRICISTA DE MANUT. I</v>
      </c>
      <c r="D933" s="5">
        <v>400</v>
      </c>
      <c r="E933" s="4" t="str">
        <f>"Funcionário"</f>
        <v>Funcionário</v>
      </c>
    </row>
    <row r="934" spans="1:5">
      <c r="A934" s="4" t="str">
        <f t="shared" si="77"/>
        <v>4</v>
      </c>
      <c r="B934" s="4" t="str">
        <f>"VANDERSON JULIANO RODRIGUES MARQUES"</f>
        <v>VANDERSON JULIANO RODRIGUES MARQUES</v>
      </c>
      <c r="C934" s="4" t="str">
        <f>"APRENDIZ- PRODUÇÃO"</f>
        <v>APRENDIZ- PRODUÇÃO</v>
      </c>
      <c r="D934" s="5">
        <v>403</v>
      </c>
      <c r="E934" s="4" t="str">
        <f>"Aprendiz"</f>
        <v>Aprendiz</v>
      </c>
    </row>
    <row r="935" spans="1:5">
      <c r="A935" s="4" t="str">
        <f t="shared" si="77"/>
        <v>4</v>
      </c>
      <c r="B935" s="4" t="str">
        <f>"WALLACE LUIZ LOPES BARBOSA"</f>
        <v>WALLACE LUIZ LOPES BARBOSA</v>
      </c>
      <c r="C935" s="4" t="str">
        <f>"TEC INDUSTRIAL ESPECIALIZADO"</f>
        <v>TEC INDUSTRIAL ESPECIALIZADO</v>
      </c>
      <c r="D935" s="5">
        <v>400</v>
      </c>
      <c r="E935" s="4" t="str">
        <f>"Funcionário"</f>
        <v>Funcionário</v>
      </c>
    </row>
    <row r="936" spans="1:5">
      <c r="A936" s="4" t="str">
        <f t="shared" si="77"/>
        <v>4</v>
      </c>
      <c r="B936" s="4" t="str">
        <f>"WEIDE DE FRANÇA BEZERRA"</f>
        <v>WEIDE DE FRANÇA BEZERRA</v>
      </c>
      <c r="C936" s="4" t="str">
        <f>"OFICIAL DE PRODUCAO INDUSTRIAL"</f>
        <v>OFICIAL DE PRODUCAO INDUSTRIAL</v>
      </c>
      <c r="D936" s="5">
        <v>400</v>
      </c>
      <c r="E936" s="4" t="str">
        <f>"Funcionário"</f>
        <v>Funcionário</v>
      </c>
    </row>
    <row r="937" spans="1:5">
      <c r="A937" s="4" t="str">
        <f t="shared" si="77"/>
        <v>4</v>
      </c>
      <c r="B937" s="4" t="str">
        <f>"WILSON MELLO DE SOUZA FILHO"</f>
        <v>WILSON MELLO DE SOUZA FILHO</v>
      </c>
      <c r="C937" s="4" t="str">
        <f>"TEC INDUSTRIAL ESPECIALIZADO"</f>
        <v>TEC INDUSTRIAL ESPECIALIZADO</v>
      </c>
      <c r="D937" s="5">
        <v>400</v>
      </c>
      <c r="E937" s="4" t="str">
        <f>"Aposentado"</f>
        <v>Aposentado</v>
      </c>
    </row>
    <row r="938" spans="1:5">
      <c r="A938" s="4" t="str">
        <f t="shared" ref="A938:A1001" si="78">"5"</f>
        <v>5</v>
      </c>
      <c r="B938" s="4" t="str">
        <f>"ABNER JOSE DE OLIVEIRA"</f>
        <v>ABNER JOSE DE OLIVEIRA</v>
      </c>
      <c r="C938" s="4" t="str">
        <f>"AUXILIAR TECNICO INDUSTRIAL"</f>
        <v>AUXILIAR TECNICO INDUSTRIAL</v>
      </c>
      <c r="D938" s="5">
        <v>500</v>
      </c>
      <c r="E938" s="4" t="str">
        <f t="shared" ref="E938:E943" si="79">"Funcionário"</f>
        <v>Funcionário</v>
      </c>
    </row>
    <row r="939" spans="1:5">
      <c r="A939" s="4" t="str">
        <f t="shared" si="78"/>
        <v>5</v>
      </c>
      <c r="B939" s="4" t="str">
        <f>"ADALBERTO MENDONÇA DOS SANTOS"</f>
        <v>ADALBERTO MENDONÇA DOS SANTOS</v>
      </c>
      <c r="C939" s="4" t="str">
        <f>"AUXILIAR TECNICO INDUSTRIAL"</f>
        <v>AUXILIAR TECNICO INDUSTRIAL</v>
      </c>
      <c r="D939" s="5">
        <v>500</v>
      </c>
      <c r="E939" s="4" t="str">
        <f t="shared" si="79"/>
        <v>Funcionário</v>
      </c>
    </row>
    <row r="940" spans="1:5">
      <c r="A940" s="4" t="str">
        <f t="shared" si="78"/>
        <v>5</v>
      </c>
      <c r="B940" s="4" t="str">
        <f>"ADAUTO FERNANDO DA CRUZ"</f>
        <v>ADAUTO FERNANDO DA CRUZ</v>
      </c>
      <c r="C940" s="4" t="str">
        <f>"OFICIAL DE PRODUCAO INDUSTRIAL"</f>
        <v>OFICIAL DE PRODUCAO INDUSTRIAL</v>
      </c>
      <c r="D940" s="5">
        <v>500</v>
      </c>
      <c r="E940" s="4" t="str">
        <f t="shared" si="79"/>
        <v>Funcionário</v>
      </c>
    </row>
    <row r="941" spans="1:5">
      <c r="A941" s="4" t="str">
        <f t="shared" si="78"/>
        <v>5</v>
      </c>
      <c r="B941" s="4" t="str">
        <f>"ADEILDO BATISTA RIBEIRO"</f>
        <v>ADEILDO BATISTA RIBEIRO</v>
      </c>
      <c r="C941" s="4" t="str">
        <f>"OFICIAL DE PRODUCAO INDUSTRIAL"</f>
        <v>OFICIAL DE PRODUCAO INDUSTRIAL</v>
      </c>
      <c r="D941" s="5">
        <v>500</v>
      </c>
      <c r="E941" s="4" t="str">
        <f t="shared" si="79"/>
        <v>Funcionário</v>
      </c>
    </row>
    <row r="942" spans="1:5">
      <c r="A942" s="4" t="str">
        <f t="shared" si="78"/>
        <v>5</v>
      </c>
      <c r="B942" s="4" t="str">
        <f>"ADELAIDE MARIA FERREIRA DA CRUZ"</f>
        <v>ADELAIDE MARIA FERREIRA DA CRUZ</v>
      </c>
      <c r="C942" s="4" t="str">
        <f>"TECNICO ADM ESPECIALIZADO"</f>
        <v>TECNICO ADM ESPECIALIZADO</v>
      </c>
      <c r="D942" s="5">
        <v>500</v>
      </c>
      <c r="E942" s="4" t="str">
        <f t="shared" si="79"/>
        <v>Funcionário</v>
      </c>
    </row>
    <row r="943" spans="1:5">
      <c r="A943" s="4" t="str">
        <f t="shared" si="78"/>
        <v>5</v>
      </c>
      <c r="B943" s="4" t="str">
        <f>"ADELIA RIBEIRO DE CARVALHO CAMARGO"</f>
        <v>ADELIA RIBEIRO DE CARVALHO CAMARGO</v>
      </c>
      <c r="C943" s="4" t="str">
        <f>"OFICIAL DE PRODUCAO INDUSTRIAL"</f>
        <v>OFICIAL DE PRODUCAO INDUSTRIAL</v>
      </c>
      <c r="D943" s="5">
        <v>500</v>
      </c>
      <c r="E943" s="4" t="str">
        <f t="shared" si="79"/>
        <v>Funcionário</v>
      </c>
    </row>
    <row r="944" spans="1:5">
      <c r="A944" s="4" t="str">
        <f t="shared" si="78"/>
        <v>5</v>
      </c>
      <c r="B944" s="4" t="str">
        <f>"ADEMIR DONIZETI PEREIRA"</f>
        <v>ADEMIR DONIZETI PEREIRA</v>
      </c>
      <c r="C944" s="4" t="str">
        <f>"OFICIAL DE PRODUCAO INDUSTRIAL"</f>
        <v>OFICIAL DE PRODUCAO INDUSTRIAL</v>
      </c>
      <c r="D944" s="5">
        <v>500</v>
      </c>
      <c r="E944" s="4" t="str">
        <f>"Aposentado"</f>
        <v>Aposentado</v>
      </c>
    </row>
    <row r="945" spans="1:5">
      <c r="A945" s="4" t="str">
        <f t="shared" si="78"/>
        <v>5</v>
      </c>
      <c r="B945" s="4" t="str">
        <f>"ADILSON BENEDITO DOS SANTOS"</f>
        <v>ADILSON BENEDITO DOS SANTOS</v>
      </c>
      <c r="C945" s="4" t="str">
        <f>"OF FERRAMENTARIA INDUSTRIAL"</f>
        <v>OF FERRAMENTARIA INDUSTRIAL</v>
      </c>
      <c r="D945" s="5">
        <v>500</v>
      </c>
      <c r="E945" s="4" t="str">
        <f>"Aposentado"</f>
        <v>Aposentado</v>
      </c>
    </row>
    <row r="946" spans="1:5">
      <c r="A946" s="4" t="str">
        <f t="shared" si="78"/>
        <v>5</v>
      </c>
      <c r="B946" s="4" t="str">
        <f>"ADILSON CORREA DOS SANTOS"</f>
        <v>ADILSON CORREA DOS SANTOS</v>
      </c>
      <c r="C946" s="4" t="str">
        <f>"OFICIAL DE PRODUCAO INDUSTRIAL"</f>
        <v>OFICIAL DE PRODUCAO INDUSTRIAL</v>
      </c>
      <c r="D946" s="5">
        <v>500</v>
      </c>
      <c r="E946" s="4" t="str">
        <f>"Funcionário"</f>
        <v>Funcionário</v>
      </c>
    </row>
    <row r="947" spans="1:5">
      <c r="A947" s="4" t="str">
        <f t="shared" si="78"/>
        <v>5</v>
      </c>
      <c r="B947" s="4" t="str">
        <f>"ADILSON FERNANDES DOS REIS"</f>
        <v>ADILSON FERNANDES DOS REIS</v>
      </c>
      <c r="C947" s="4" t="str">
        <f>"OFICIAL DE PRODUCAO INDUSTRIAL"</f>
        <v>OFICIAL DE PRODUCAO INDUSTRIAL</v>
      </c>
      <c r="D947" s="5">
        <v>500</v>
      </c>
      <c r="E947" s="4" t="str">
        <f>"Funcionário"</f>
        <v>Funcionário</v>
      </c>
    </row>
    <row r="948" spans="1:5">
      <c r="A948" s="4" t="str">
        <f t="shared" si="78"/>
        <v>5</v>
      </c>
      <c r="B948" s="4" t="str">
        <f>"ADIVANO DOS REIS RIBEIRO"</f>
        <v>ADIVANO DOS REIS RIBEIRO</v>
      </c>
      <c r="C948" s="4" t="str">
        <f>"OFICIAL DE PRODUCAO INDUSTRIAL"</f>
        <v>OFICIAL DE PRODUCAO INDUSTRIAL</v>
      </c>
      <c r="D948" s="5">
        <v>500</v>
      </c>
      <c r="E948" s="4" t="str">
        <f>"Funcionário"</f>
        <v>Funcionário</v>
      </c>
    </row>
    <row r="949" spans="1:5">
      <c r="A949" s="4" t="str">
        <f t="shared" si="78"/>
        <v>5</v>
      </c>
      <c r="B949" s="4" t="str">
        <f>"ADRIANO MENDONÇA GOMES"</f>
        <v>ADRIANO MENDONÇA GOMES</v>
      </c>
      <c r="C949" s="4" t="str">
        <f>"OFICIAL DE PRODUCAO INDUSTRIAL"</f>
        <v>OFICIAL DE PRODUCAO INDUSTRIAL</v>
      </c>
      <c r="D949" s="5">
        <v>500</v>
      </c>
      <c r="E949" s="4" t="str">
        <f>"Funcionário"</f>
        <v>Funcionário</v>
      </c>
    </row>
    <row r="950" spans="1:5">
      <c r="A950" s="4" t="str">
        <f t="shared" si="78"/>
        <v>5</v>
      </c>
      <c r="B950" s="4" t="str">
        <f>"AGOSTINHO EUSTAQUIO RIBEIRO"</f>
        <v>AGOSTINHO EUSTAQUIO RIBEIRO</v>
      </c>
      <c r="C950" s="4" t="str">
        <f>"OF FERRAMENTARIA INDUSTRIAL"</f>
        <v>OF FERRAMENTARIA INDUSTRIAL</v>
      </c>
      <c r="D950" s="5">
        <v>500</v>
      </c>
      <c r="E950" s="4" t="str">
        <f>"Aposentado"</f>
        <v>Aposentado</v>
      </c>
    </row>
    <row r="951" spans="1:5">
      <c r="A951" s="4" t="str">
        <f t="shared" si="78"/>
        <v>5</v>
      </c>
      <c r="B951" s="4" t="str">
        <f>"AILSON FLORENCIO LUZ"</f>
        <v>AILSON FLORENCIO LUZ</v>
      </c>
      <c r="C951" s="4" t="str">
        <f>"TEC INDUSTRIAL ESPECIALIZADO"</f>
        <v>TEC INDUSTRIAL ESPECIALIZADO</v>
      </c>
      <c r="D951" s="5">
        <v>500</v>
      </c>
      <c r="E951" s="4" t="str">
        <f>"Funcionário"</f>
        <v>Funcionário</v>
      </c>
    </row>
    <row r="952" spans="1:5">
      <c r="A952" s="4" t="str">
        <f t="shared" si="78"/>
        <v>5</v>
      </c>
      <c r="B952" s="4" t="str">
        <f>"ALBERTO LIMA EVARISTO"</f>
        <v>ALBERTO LIMA EVARISTO</v>
      </c>
      <c r="C952" s="4" t="str">
        <f>"APRENDIZ- PRODUÇÃO"</f>
        <v>APRENDIZ- PRODUÇÃO</v>
      </c>
      <c r="D952" s="5">
        <v>503</v>
      </c>
      <c r="E952" s="4" t="str">
        <f>"Aprendiz"</f>
        <v>Aprendiz</v>
      </c>
    </row>
    <row r="953" spans="1:5">
      <c r="A953" s="4" t="str">
        <f t="shared" si="78"/>
        <v>5</v>
      </c>
      <c r="B953" s="4" t="str">
        <f>"ALESSANDRA ELEN DE SOUZA RIBEIRO"</f>
        <v>ALESSANDRA ELEN DE SOUZA RIBEIRO</v>
      </c>
      <c r="C953" s="4" t="str">
        <f>"TECNICO ADM ESPECIALIZADO"</f>
        <v>TECNICO ADM ESPECIALIZADO</v>
      </c>
      <c r="D953" s="5">
        <v>500</v>
      </c>
      <c r="E953" s="4" t="str">
        <f>"Funcionário"</f>
        <v>Funcionário</v>
      </c>
    </row>
    <row r="954" spans="1:5">
      <c r="A954" s="4" t="str">
        <f t="shared" si="78"/>
        <v>5</v>
      </c>
      <c r="B954" s="4" t="str">
        <f>"ALESSANDRO APARECIDO CORREA DA SILVA"</f>
        <v>ALESSANDRO APARECIDO CORREA DA SILVA</v>
      </c>
      <c r="C954" s="4" t="str">
        <f>"ASSESSOR ESPECIAL I"</f>
        <v>ASSESSOR ESPECIAL I</v>
      </c>
      <c r="D954" s="5">
        <v>501</v>
      </c>
      <c r="E954" s="4" t="str">
        <f>"Funcionário"</f>
        <v>Funcionário</v>
      </c>
    </row>
    <row r="955" spans="1:5">
      <c r="A955" s="4" t="str">
        <f t="shared" si="78"/>
        <v>5</v>
      </c>
      <c r="B955" s="4" t="str">
        <f>"ALEX SANDRO MARTINS DE LIMA"</f>
        <v>ALEX SANDRO MARTINS DE LIMA</v>
      </c>
      <c r="C955" s="4" t="str">
        <f>"TEC INDUSTRIAL ESPECIALIZADO"</f>
        <v>TEC INDUSTRIAL ESPECIALIZADO</v>
      </c>
      <c r="D955" s="5">
        <v>500</v>
      </c>
      <c r="E955" s="4" t="str">
        <f>"Funcionário"</f>
        <v>Funcionário</v>
      </c>
    </row>
    <row r="956" spans="1:5">
      <c r="A956" s="4" t="str">
        <f t="shared" si="78"/>
        <v>5</v>
      </c>
      <c r="B956" s="4" t="str">
        <f>"ALEXANDRE ALBERTO FERNANDES JUNIOR"</f>
        <v>ALEXANDRE ALBERTO FERNANDES JUNIOR</v>
      </c>
      <c r="C956" s="4" t="str">
        <f>"APRENDIZ- PRODUÇÃO"</f>
        <v>APRENDIZ- PRODUÇÃO</v>
      </c>
      <c r="D956" s="5">
        <v>503</v>
      </c>
      <c r="E956" s="4" t="str">
        <f>"Aprendiz"</f>
        <v>Aprendiz</v>
      </c>
    </row>
    <row r="957" spans="1:5">
      <c r="A957" s="4" t="str">
        <f t="shared" si="78"/>
        <v>5</v>
      </c>
      <c r="B957" s="4" t="str">
        <f>"ALEXANDRE ANTONIO DE OLIVEIRA"</f>
        <v>ALEXANDRE ANTONIO DE OLIVEIRA</v>
      </c>
      <c r="C957" s="4" t="str">
        <f>"OFICIAL DE PRODUCAO INDUSTRIAL"</f>
        <v>OFICIAL DE PRODUCAO INDUSTRIAL</v>
      </c>
      <c r="D957" s="5">
        <v>500</v>
      </c>
      <c r="E957" s="4" t="str">
        <f>"Funcionário"</f>
        <v>Funcionário</v>
      </c>
    </row>
    <row r="958" spans="1:5">
      <c r="A958" s="4" t="str">
        <f t="shared" si="78"/>
        <v>5</v>
      </c>
      <c r="B958" s="4" t="str">
        <f>"ALEXANDRE MAGNO DE ALMEIDA"</f>
        <v>ALEXANDRE MAGNO DE ALMEIDA</v>
      </c>
      <c r="C958" s="4" t="str">
        <f>"OFICIAL DE PRODUCAO INDUSTRIAL"</f>
        <v>OFICIAL DE PRODUCAO INDUSTRIAL</v>
      </c>
      <c r="D958" s="5">
        <v>500</v>
      </c>
      <c r="E958" s="4" t="str">
        <f>"Funcionário"</f>
        <v>Funcionário</v>
      </c>
    </row>
    <row r="959" spans="1:5">
      <c r="A959" s="4" t="str">
        <f t="shared" si="78"/>
        <v>5</v>
      </c>
      <c r="B959" s="4" t="str">
        <f>"ALEXANDRE RIBEIRO GONÇALVES"</f>
        <v>ALEXANDRE RIBEIRO GONÇALVES</v>
      </c>
      <c r="C959" s="4" t="str">
        <f>"ENGENHEIRO"</f>
        <v>ENGENHEIRO</v>
      </c>
      <c r="D959" s="5">
        <v>500</v>
      </c>
      <c r="E959" s="4" t="str">
        <f>"Funcionário"</f>
        <v>Funcionário</v>
      </c>
    </row>
    <row r="960" spans="1:5">
      <c r="A960" s="4" t="str">
        <f t="shared" si="78"/>
        <v>5</v>
      </c>
      <c r="B960" s="4" t="str">
        <f>"ALEXANDRO FERREIRA"</f>
        <v>ALEXANDRO FERREIRA</v>
      </c>
      <c r="C960" s="4" t="str">
        <f>"OFICIAL DE PRODUCAO INDUSTRIAL"</f>
        <v>OFICIAL DE PRODUCAO INDUSTRIAL</v>
      </c>
      <c r="D960" s="5">
        <v>500</v>
      </c>
      <c r="E960" s="4" t="str">
        <f>"Funcionário"</f>
        <v>Funcionário</v>
      </c>
    </row>
    <row r="961" spans="1:5">
      <c r="A961" s="4" t="str">
        <f t="shared" si="78"/>
        <v>5</v>
      </c>
      <c r="B961" s="4" t="str">
        <f>"ALISSON REGIS DA SILVA"</f>
        <v>ALISSON REGIS DA SILVA</v>
      </c>
      <c r="C961" s="4" t="str">
        <f>"OF FERRAMENTARIA INDUSTRIAL"</f>
        <v>OF FERRAMENTARIA INDUSTRIAL</v>
      </c>
      <c r="D961" s="5">
        <v>500</v>
      </c>
      <c r="E961" s="4" t="str">
        <f>"Funcionário"</f>
        <v>Funcionário</v>
      </c>
    </row>
    <row r="962" spans="1:5">
      <c r="A962" s="4" t="str">
        <f t="shared" si="78"/>
        <v>5</v>
      </c>
      <c r="B962" s="4" t="str">
        <f>"ALMIR VIEIRA"</f>
        <v>ALMIR VIEIRA</v>
      </c>
      <c r="C962" s="4" t="str">
        <f>"ENGENHEIRO"</f>
        <v>ENGENHEIRO</v>
      </c>
      <c r="D962" s="5">
        <v>500</v>
      </c>
      <c r="E962" s="4" t="str">
        <f>"Aposentado"</f>
        <v>Aposentado</v>
      </c>
    </row>
    <row r="963" spans="1:5">
      <c r="A963" s="4" t="str">
        <f t="shared" si="78"/>
        <v>5</v>
      </c>
      <c r="B963" s="4" t="str">
        <f>"ALTAIR DE SOUZA FERREIRA"</f>
        <v>ALTAIR DE SOUZA FERREIRA</v>
      </c>
      <c r="C963" s="4" t="str">
        <f>"OFICIAL DE PRODUCAO INDUSTRIAL"</f>
        <v>OFICIAL DE PRODUCAO INDUSTRIAL</v>
      </c>
      <c r="D963" s="5">
        <v>500</v>
      </c>
      <c r="E963" s="4" t="str">
        <f>"Aposentado"</f>
        <v>Aposentado</v>
      </c>
    </row>
    <row r="964" spans="1:5">
      <c r="A964" s="4" t="str">
        <f t="shared" si="78"/>
        <v>5</v>
      </c>
      <c r="B964" s="4" t="str">
        <f>"ALTAIR RAIMUNDO"</f>
        <v>ALTAIR RAIMUNDO</v>
      </c>
      <c r="C964" s="4" t="str">
        <f>"AUXILIAR TECNICO INDUSTRIAL"</f>
        <v>AUXILIAR TECNICO INDUSTRIAL</v>
      </c>
      <c r="D964" s="5">
        <v>500</v>
      </c>
      <c r="E964" s="4" t="str">
        <f>"Aposentado"</f>
        <v>Aposentado</v>
      </c>
    </row>
    <row r="965" spans="1:5">
      <c r="A965" s="4" t="str">
        <f t="shared" si="78"/>
        <v>5</v>
      </c>
      <c r="B965" s="4" t="str">
        <f>"ALTEMIR ANSELMO"</f>
        <v>ALTEMIR ANSELMO</v>
      </c>
      <c r="C965" s="4" t="str">
        <f>"AUXILIAR TECNICO INDUSTRIAL"</f>
        <v>AUXILIAR TECNICO INDUSTRIAL</v>
      </c>
      <c r="D965" s="5">
        <v>500</v>
      </c>
      <c r="E965" s="4" t="str">
        <f t="shared" ref="E965:E975" si="80">"Funcionário"</f>
        <v>Funcionário</v>
      </c>
    </row>
    <row r="966" spans="1:5">
      <c r="A966" s="4" t="str">
        <f t="shared" si="78"/>
        <v>5</v>
      </c>
      <c r="B966" s="4" t="str">
        <f>"AMANDA APARECIDA DE LIMA"</f>
        <v>AMANDA APARECIDA DE LIMA</v>
      </c>
      <c r="C966" s="4" t="str">
        <f>"OFICIAL DE PRODUCAO INDUSTRIAL"</f>
        <v>OFICIAL DE PRODUCAO INDUSTRIAL</v>
      </c>
      <c r="D966" s="5">
        <v>500</v>
      </c>
      <c r="E966" s="4" t="str">
        <f t="shared" si="80"/>
        <v>Funcionário</v>
      </c>
    </row>
    <row r="967" spans="1:5">
      <c r="A967" s="4" t="str">
        <f t="shared" si="78"/>
        <v>5</v>
      </c>
      <c r="B967" s="4" t="str">
        <f>"AMARO GUILHERME SILVA"</f>
        <v>AMARO GUILHERME SILVA</v>
      </c>
      <c r="C967" s="4" t="str">
        <f>"OFICIAL DE PRODUCAO INDUSTRIAL"</f>
        <v>OFICIAL DE PRODUCAO INDUSTRIAL</v>
      </c>
      <c r="D967" s="5">
        <v>500</v>
      </c>
      <c r="E967" s="4" t="str">
        <f t="shared" si="80"/>
        <v>Funcionário</v>
      </c>
    </row>
    <row r="968" spans="1:5">
      <c r="A968" s="4" t="str">
        <f t="shared" si="78"/>
        <v>5</v>
      </c>
      <c r="B968" s="4" t="str">
        <f>"AMAURI MUNHOZ LOPES"</f>
        <v>AMAURI MUNHOZ LOPES</v>
      </c>
      <c r="C968" s="4" t="str">
        <f>"TECNICO ADM ESPECIALIZADO"</f>
        <v>TECNICO ADM ESPECIALIZADO</v>
      </c>
      <c r="D968" s="5">
        <v>500</v>
      </c>
      <c r="E968" s="4" t="str">
        <f t="shared" si="80"/>
        <v>Funcionário</v>
      </c>
    </row>
    <row r="969" spans="1:5">
      <c r="A969" s="4" t="str">
        <f t="shared" si="78"/>
        <v>5</v>
      </c>
      <c r="B969" s="4" t="str">
        <f>"ANA APARECIDA DA SILVA"</f>
        <v>ANA APARECIDA DA SILVA</v>
      </c>
      <c r="C969" s="4" t="str">
        <f>"TECNICO SEGURANÇA DO TRABALHO"</f>
        <v>TECNICO SEGURANÇA DO TRABALHO</v>
      </c>
      <c r="D969" s="5">
        <v>500</v>
      </c>
      <c r="E969" s="4" t="str">
        <f t="shared" si="80"/>
        <v>Funcionário</v>
      </c>
    </row>
    <row r="970" spans="1:5">
      <c r="A970" s="4" t="str">
        <f t="shared" si="78"/>
        <v>5</v>
      </c>
      <c r="B970" s="4" t="str">
        <f>"ANA CAROLINA DA SILVA"</f>
        <v>ANA CAROLINA DA SILVA</v>
      </c>
      <c r="C970" s="4" t="str">
        <f>"TECNICO ADM ESPECIALIZADO"</f>
        <v>TECNICO ADM ESPECIALIZADO</v>
      </c>
      <c r="D970" s="5">
        <v>500</v>
      </c>
      <c r="E970" s="4" t="str">
        <f t="shared" si="80"/>
        <v>Funcionário</v>
      </c>
    </row>
    <row r="971" spans="1:5">
      <c r="A971" s="4" t="str">
        <f t="shared" si="78"/>
        <v>5</v>
      </c>
      <c r="B971" s="4" t="str">
        <f>"ANA CLAUDIA PASSOS"</f>
        <v>ANA CLAUDIA PASSOS</v>
      </c>
      <c r="C971" s="4" t="str">
        <f>"OFICIAL DE PRODUCAO INDUSTRIAL"</f>
        <v>OFICIAL DE PRODUCAO INDUSTRIAL</v>
      </c>
      <c r="D971" s="5">
        <v>500</v>
      </c>
      <c r="E971" s="4" t="str">
        <f t="shared" si="80"/>
        <v>Funcionário</v>
      </c>
    </row>
    <row r="972" spans="1:5">
      <c r="A972" s="4" t="str">
        <f t="shared" si="78"/>
        <v>5</v>
      </c>
      <c r="B972" s="4" t="str">
        <f>"ANA LUCIA FIDELIS APARECIDO"</f>
        <v>ANA LUCIA FIDELIS APARECIDO</v>
      </c>
      <c r="C972" s="4" t="str">
        <f>"OFICIAL DE PRODUCAO INDUSTRIAL"</f>
        <v>OFICIAL DE PRODUCAO INDUSTRIAL</v>
      </c>
      <c r="D972" s="5">
        <v>500</v>
      </c>
      <c r="E972" s="4" t="str">
        <f t="shared" si="80"/>
        <v>Funcionário</v>
      </c>
    </row>
    <row r="973" spans="1:5">
      <c r="A973" s="4" t="str">
        <f t="shared" si="78"/>
        <v>5</v>
      </c>
      <c r="B973" s="4" t="str">
        <f>"ANA LUCIA SANTIAGO DE MOURA"</f>
        <v>ANA LUCIA SANTIAGO DE MOURA</v>
      </c>
      <c r="C973" s="4" t="str">
        <f>"OFICIAL DE PRODUCAO INDUSTRIAL"</f>
        <v>OFICIAL DE PRODUCAO INDUSTRIAL</v>
      </c>
      <c r="D973" s="5">
        <v>500</v>
      </c>
      <c r="E973" s="4" t="str">
        <f t="shared" si="80"/>
        <v>Funcionário</v>
      </c>
    </row>
    <row r="974" spans="1:5">
      <c r="A974" s="4" t="str">
        <f t="shared" si="78"/>
        <v>5</v>
      </c>
      <c r="B974" s="4" t="str">
        <f>"ANA LUCIA THOMAZINI MIRANDA"</f>
        <v>ANA LUCIA THOMAZINI MIRANDA</v>
      </c>
      <c r="C974" s="4" t="str">
        <f>"TECNICO ADM ESPECIALIZADO"</f>
        <v>TECNICO ADM ESPECIALIZADO</v>
      </c>
      <c r="D974" s="5">
        <v>500</v>
      </c>
      <c r="E974" s="4" t="str">
        <f t="shared" si="80"/>
        <v>Funcionário</v>
      </c>
    </row>
    <row r="975" spans="1:5">
      <c r="A975" s="4" t="str">
        <f t="shared" si="78"/>
        <v>5</v>
      </c>
      <c r="B975" s="4" t="str">
        <f>"ANA MARIA CARNEIRO DA CUNHA SILVA"</f>
        <v>ANA MARIA CARNEIRO DA CUNHA SILVA</v>
      </c>
      <c r="C975" s="4" t="str">
        <f>"OFICIAL DE PRODUCAO INDUSTRIAL"</f>
        <v>OFICIAL DE PRODUCAO INDUSTRIAL</v>
      </c>
      <c r="D975" s="5">
        <v>500</v>
      </c>
      <c r="E975" s="4" t="str">
        <f t="shared" si="80"/>
        <v>Funcionário</v>
      </c>
    </row>
    <row r="976" spans="1:5">
      <c r="A976" s="4" t="str">
        <f t="shared" si="78"/>
        <v>5</v>
      </c>
      <c r="B976" s="4" t="str">
        <f>"ANA MARIA FAGUNDES"</f>
        <v>ANA MARIA FAGUNDES</v>
      </c>
      <c r="C976" s="4" t="str">
        <f>"AGENTE DE APOIO OPERACIONAL"</f>
        <v>AGENTE DE APOIO OPERACIONAL</v>
      </c>
      <c r="D976" s="5">
        <v>500</v>
      </c>
      <c r="E976" s="4" t="str">
        <f>"Aposentado"</f>
        <v>Aposentado</v>
      </c>
    </row>
    <row r="977" spans="1:5">
      <c r="A977" s="4" t="str">
        <f t="shared" si="78"/>
        <v>5</v>
      </c>
      <c r="B977" s="4" t="str">
        <f>"ANA PAULA DE MENDONCA"</f>
        <v>ANA PAULA DE MENDONCA</v>
      </c>
      <c r="C977" s="4" t="str">
        <f>"OFICIAL DE PRODUCAO INDUSTRIAL"</f>
        <v>OFICIAL DE PRODUCAO INDUSTRIAL</v>
      </c>
      <c r="D977" s="5">
        <v>500</v>
      </c>
      <c r="E977" s="4" t="str">
        <f t="shared" ref="E977:E998" si="81">"Funcionário"</f>
        <v>Funcionário</v>
      </c>
    </row>
    <row r="978" spans="1:5">
      <c r="A978" s="4" t="str">
        <f t="shared" si="78"/>
        <v>5</v>
      </c>
      <c r="B978" s="4" t="str">
        <f>"ANA PAULA DE OLIVEIRA"</f>
        <v>ANA PAULA DE OLIVEIRA</v>
      </c>
      <c r="C978" s="4" t="str">
        <f>"OFICIAL DE PRODUCAO INDUSTRIAL"</f>
        <v>OFICIAL DE PRODUCAO INDUSTRIAL</v>
      </c>
      <c r="D978" s="5">
        <v>500</v>
      </c>
      <c r="E978" s="4" t="str">
        <f t="shared" si="81"/>
        <v>Funcionário</v>
      </c>
    </row>
    <row r="979" spans="1:5">
      <c r="A979" s="4" t="str">
        <f t="shared" si="78"/>
        <v>5</v>
      </c>
      <c r="B979" s="4" t="str">
        <f>"ANDERSON ALKMIN MADURO"</f>
        <v>ANDERSON ALKMIN MADURO</v>
      </c>
      <c r="C979" s="4" t="str">
        <f>"ANALISTA ESPECIALIZADO"</f>
        <v>ANALISTA ESPECIALIZADO</v>
      </c>
      <c r="D979" s="5">
        <v>500</v>
      </c>
      <c r="E979" s="4" t="str">
        <f t="shared" si="81"/>
        <v>Funcionário</v>
      </c>
    </row>
    <row r="980" spans="1:5">
      <c r="A980" s="4" t="str">
        <f t="shared" si="78"/>
        <v>5</v>
      </c>
      <c r="B980" s="4" t="str">
        <f>"ANDERSON APARECIDO DA CRUZ"</f>
        <v>ANDERSON APARECIDO DA CRUZ</v>
      </c>
      <c r="C980" s="4" t="str">
        <f>"OFICIAL DE PRODUCAO INDUSTRIAL"</f>
        <v>OFICIAL DE PRODUCAO INDUSTRIAL</v>
      </c>
      <c r="D980" s="5">
        <v>500</v>
      </c>
      <c r="E980" s="4" t="str">
        <f t="shared" si="81"/>
        <v>Funcionário</v>
      </c>
    </row>
    <row r="981" spans="1:5">
      <c r="A981" s="4" t="str">
        <f t="shared" si="78"/>
        <v>5</v>
      </c>
      <c r="B981" s="4" t="str">
        <f>"ANDERSON GOULART"</f>
        <v>ANDERSON GOULART</v>
      </c>
      <c r="C981" s="4" t="str">
        <f>"OFICIAL DE PRODUCAO INDUSTRIAL"</f>
        <v>OFICIAL DE PRODUCAO INDUSTRIAL</v>
      </c>
      <c r="D981" s="5">
        <v>500</v>
      </c>
      <c r="E981" s="4" t="str">
        <f t="shared" si="81"/>
        <v>Funcionário</v>
      </c>
    </row>
    <row r="982" spans="1:5">
      <c r="A982" s="4" t="str">
        <f t="shared" si="78"/>
        <v>5</v>
      </c>
      <c r="B982" s="4" t="str">
        <f>"ANDERSON JOSE DE SOUZA"</f>
        <v>ANDERSON JOSE DE SOUZA</v>
      </c>
      <c r="C982" s="4" t="str">
        <f>"OFICIAL DE PRODUCAO INDUSTRIAL"</f>
        <v>OFICIAL DE PRODUCAO INDUSTRIAL</v>
      </c>
      <c r="D982" s="5">
        <v>500</v>
      </c>
      <c r="E982" s="4" t="str">
        <f t="shared" si="81"/>
        <v>Funcionário</v>
      </c>
    </row>
    <row r="983" spans="1:5">
      <c r="A983" s="4" t="str">
        <f t="shared" si="78"/>
        <v>5</v>
      </c>
      <c r="B983" s="4" t="str">
        <f>"ANDERSON LUIS PEREIRA"</f>
        <v>ANDERSON LUIS PEREIRA</v>
      </c>
      <c r="C983" s="4" t="str">
        <f>"OF FERRAMENTARIA INDUSTRIAL"</f>
        <v>OF FERRAMENTARIA INDUSTRIAL</v>
      </c>
      <c r="D983" s="5">
        <v>500</v>
      </c>
      <c r="E983" s="4" t="str">
        <f t="shared" si="81"/>
        <v>Funcionário</v>
      </c>
    </row>
    <row r="984" spans="1:5">
      <c r="A984" s="4" t="str">
        <f t="shared" si="78"/>
        <v>5</v>
      </c>
      <c r="B984" s="4" t="str">
        <f>"ANDERSON LUIZ GONÇALVES DE OLIVEIRA"</f>
        <v>ANDERSON LUIZ GONÇALVES DE OLIVEIRA</v>
      </c>
      <c r="C984" s="4" t="str">
        <f>"TEC INDUSTRIAL ESPECIALIZADO"</f>
        <v>TEC INDUSTRIAL ESPECIALIZADO</v>
      </c>
      <c r="D984" s="5">
        <v>500</v>
      </c>
      <c r="E984" s="4" t="str">
        <f t="shared" si="81"/>
        <v>Funcionário</v>
      </c>
    </row>
    <row r="985" spans="1:5">
      <c r="A985" s="4" t="str">
        <f t="shared" si="78"/>
        <v>5</v>
      </c>
      <c r="B985" s="4" t="str">
        <f>"ANDRE LUIZ PEREIRA RANGEL"</f>
        <v>ANDRE LUIZ PEREIRA RANGEL</v>
      </c>
      <c r="C985" s="4" t="str">
        <f>"OFICIAL DE PRODUCAO INDUSTRIAL"</f>
        <v>OFICIAL DE PRODUCAO INDUSTRIAL</v>
      </c>
      <c r="D985" s="5">
        <v>500</v>
      </c>
      <c r="E985" s="4" t="str">
        <f t="shared" si="81"/>
        <v>Funcionário</v>
      </c>
    </row>
    <row r="986" spans="1:5">
      <c r="A986" s="4" t="str">
        <f t="shared" si="78"/>
        <v>5</v>
      </c>
      <c r="B986" s="4" t="str">
        <f>"ANDREA CRISTINA BONALDI"</f>
        <v>ANDREA CRISTINA BONALDI</v>
      </c>
      <c r="C986" s="4" t="str">
        <f>"GUARDA DE SEG. PATRIMONIAL"</f>
        <v>GUARDA DE SEG. PATRIMONIAL</v>
      </c>
      <c r="D986" s="5">
        <v>500</v>
      </c>
      <c r="E986" s="4" t="str">
        <f t="shared" si="81"/>
        <v>Funcionário</v>
      </c>
    </row>
    <row r="987" spans="1:5">
      <c r="A987" s="4" t="str">
        <f t="shared" si="78"/>
        <v>5</v>
      </c>
      <c r="B987" s="4" t="str">
        <f>"ANDRESA CRISTINA OZORIO"</f>
        <v>ANDRESA CRISTINA OZORIO</v>
      </c>
      <c r="C987" s="4" t="str">
        <f>"OFICIAL DE PRODUCAO INDUSTRIAL"</f>
        <v>OFICIAL DE PRODUCAO INDUSTRIAL</v>
      </c>
      <c r="D987" s="5">
        <v>500</v>
      </c>
      <c r="E987" s="4" t="str">
        <f t="shared" si="81"/>
        <v>Funcionário</v>
      </c>
    </row>
    <row r="988" spans="1:5">
      <c r="A988" s="4" t="str">
        <f t="shared" si="78"/>
        <v>5</v>
      </c>
      <c r="B988" s="4" t="str">
        <f>"ANDREY ANTUNES MARTINS"</f>
        <v>ANDREY ANTUNES MARTINS</v>
      </c>
      <c r="C988" s="4" t="str">
        <f>"AGENTE DE APOIO OPERACIONAL"</f>
        <v>AGENTE DE APOIO OPERACIONAL</v>
      </c>
      <c r="D988" s="5">
        <v>500</v>
      </c>
      <c r="E988" s="4" t="str">
        <f t="shared" si="81"/>
        <v>Funcionário</v>
      </c>
    </row>
    <row r="989" spans="1:5">
      <c r="A989" s="4" t="str">
        <f t="shared" si="78"/>
        <v>5</v>
      </c>
      <c r="B989" s="4" t="str">
        <f>"ANGELA PEREIRA DA SILVA"</f>
        <v>ANGELA PEREIRA DA SILVA</v>
      </c>
      <c r="C989" s="4" t="str">
        <f>"OFICIAL DE PRODUCAO INDUSTRIAL"</f>
        <v>OFICIAL DE PRODUCAO INDUSTRIAL</v>
      </c>
      <c r="D989" s="5">
        <v>500</v>
      </c>
      <c r="E989" s="4" t="str">
        <f t="shared" si="81"/>
        <v>Funcionário</v>
      </c>
    </row>
    <row r="990" spans="1:5">
      <c r="A990" s="4" t="str">
        <f t="shared" si="78"/>
        <v>5</v>
      </c>
      <c r="B990" s="4" t="str">
        <f>"ANGELICA MARIA DE CARVALHO"</f>
        <v>ANGELICA MARIA DE CARVALHO</v>
      </c>
      <c r="C990" s="4" t="str">
        <f>"OFICIAL DE PRODUCAO INDUSTRIAL"</f>
        <v>OFICIAL DE PRODUCAO INDUSTRIAL</v>
      </c>
      <c r="D990" s="5">
        <v>500</v>
      </c>
      <c r="E990" s="4" t="str">
        <f t="shared" si="81"/>
        <v>Funcionário</v>
      </c>
    </row>
    <row r="991" spans="1:5">
      <c r="A991" s="4" t="str">
        <f t="shared" si="78"/>
        <v>5</v>
      </c>
      <c r="B991" s="4" t="str">
        <f>"ANGELINA MARIA DA SILVA SANTOS"</f>
        <v>ANGELINA MARIA DA SILVA SANTOS</v>
      </c>
      <c r="C991" s="4" t="str">
        <f>"AGENTE DE APOIO OPERACIONAL"</f>
        <v>AGENTE DE APOIO OPERACIONAL</v>
      </c>
      <c r="D991" s="5">
        <v>500</v>
      </c>
      <c r="E991" s="4" t="str">
        <f t="shared" si="81"/>
        <v>Funcionário</v>
      </c>
    </row>
    <row r="992" spans="1:5">
      <c r="A992" s="4" t="str">
        <f t="shared" si="78"/>
        <v>5</v>
      </c>
      <c r="B992" s="4" t="str">
        <f>"ANTONIO CARLOS ARGENTINO"</f>
        <v>ANTONIO CARLOS ARGENTINO</v>
      </c>
      <c r="C992" s="4" t="str">
        <f>"OFICIAL DE PRODUCAO INDUSTRIAL"</f>
        <v>OFICIAL DE PRODUCAO INDUSTRIAL</v>
      </c>
      <c r="D992" s="5">
        <v>500</v>
      </c>
      <c r="E992" s="4" t="str">
        <f t="shared" si="81"/>
        <v>Funcionário</v>
      </c>
    </row>
    <row r="993" spans="1:5">
      <c r="A993" s="4" t="str">
        <f t="shared" si="78"/>
        <v>5</v>
      </c>
      <c r="B993" s="4" t="str">
        <f>"ANTONIO CARLOS BRITO"</f>
        <v>ANTONIO CARLOS BRITO</v>
      </c>
      <c r="C993" s="4" t="str">
        <f>"FRESADOR III"</f>
        <v>FRESADOR III</v>
      </c>
      <c r="D993" s="5">
        <v>500</v>
      </c>
      <c r="E993" s="4" t="str">
        <f t="shared" si="81"/>
        <v>Funcionário</v>
      </c>
    </row>
    <row r="994" spans="1:5">
      <c r="A994" s="4" t="str">
        <f t="shared" si="78"/>
        <v>5</v>
      </c>
      <c r="B994" s="4" t="str">
        <f>"ANTONIO CARLOS CAMPOS"</f>
        <v>ANTONIO CARLOS CAMPOS</v>
      </c>
      <c r="C994" s="4" t="str">
        <f>"OFICIAL DE PRODUCAO INDUSTRIAL"</f>
        <v>OFICIAL DE PRODUCAO INDUSTRIAL</v>
      </c>
      <c r="D994" s="5">
        <v>500</v>
      </c>
      <c r="E994" s="4" t="str">
        <f t="shared" si="81"/>
        <v>Funcionário</v>
      </c>
    </row>
    <row r="995" spans="1:5">
      <c r="A995" s="4" t="str">
        <f t="shared" si="78"/>
        <v>5</v>
      </c>
      <c r="B995" s="4" t="str">
        <f>"ANTONIO CARLOS CORREA DE LIMA"</f>
        <v>ANTONIO CARLOS CORREA DE LIMA</v>
      </c>
      <c r="C995" s="4" t="str">
        <f>"OFICIAL DE PRODUCAO INDUSTRIAL"</f>
        <v>OFICIAL DE PRODUCAO INDUSTRIAL</v>
      </c>
      <c r="D995" s="5">
        <v>500</v>
      </c>
      <c r="E995" s="4" t="str">
        <f t="shared" si="81"/>
        <v>Funcionário</v>
      </c>
    </row>
    <row r="996" spans="1:5">
      <c r="A996" s="4" t="str">
        <f t="shared" si="78"/>
        <v>5</v>
      </c>
      <c r="B996" s="4" t="str">
        <f>"ANTONIO CARLOS DA SILVA"</f>
        <v>ANTONIO CARLOS DA SILVA</v>
      </c>
      <c r="C996" s="4" t="str">
        <f>"OPER PRODUCAO III"</f>
        <v>OPER PRODUCAO III</v>
      </c>
      <c r="D996" s="5">
        <v>500</v>
      </c>
      <c r="E996" s="4" t="str">
        <f t="shared" si="81"/>
        <v>Funcionário</v>
      </c>
    </row>
    <row r="997" spans="1:5">
      <c r="A997" s="4" t="str">
        <f t="shared" si="78"/>
        <v>5</v>
      </c>
      <c r="B997" s="4" t="str">
        <f>"ANTONIO CARLOS DE OLIVEIRA ALMEIDA"</f>
        <v>ANTONIO CARLOS DE OLIVEIRA ALMEIDA</v>
      </c>
      <c r="C997" s="4" t="str">
        <f>"OFICIAL DE PRODUCAO INDUSTRIAL"</f>
        <v>OFICIAL DE PRODUCAO INDUSTRIAL</v>
      </c>
      <c r="D997" s="5">
        <v>500</v>
      </c>
      <c r="E997" s="4" t="str">
        <f t="shared" si="81"/>
        <v>Funcionário</v>
      </c>
    </row>
    <row r="998" spans="1:5">
      <c r="A998" s="4" t="str">
        <f t="shared" si="78"/>
        <v>5</v>
      </c>
      <c r="B998" s="4" t="str">
        <f>"ANTONIO CARLOS FRANCISCO"</f>
        <v>ANTONIO CARLOS FRANCISCO</v>
      </c>
      <c r="C998" s="4" t="str">
        <f>"OFICIAL DE PRODUCAO INDUSTRIAL"</f>
        <v>OFICIAL DE PRODUCAO INDUSTRIAL</v>
      </c>
      <c r="D998" s="5">
        <v>500</v>
      </c>
      <c r="E998" s="4" t="str">
        <f t="shared" si="81"/>
        <v>Funcionário</v>
      </c>
    </row>
    <row r="999" spans="1:5">
      <c r="A999" s="4" t="str">
        <f t="shared" si="78"/>
        <v>5</v>
      </c>
      <c r="B999" s="4" t="str">
        <f>"ANTONIO CARLOS LUDGERO"</f>
        <v>ANTONIO CARLOS LUDGERO</v>
      </c>
      <c r="C999" s="4" t="str">
        <f>"OFICIAL DE PRODUCAO INDUSTRIAL"</f>
        <v>OFICIAL DE PRODUCAO INDUSTRIAL</v>
      </c>
      <c r="D999" s="5">
        <v>500</v>
      </c>
      <c r="E999" s="4" t="str">
        <f>"Aposentado"</f>
        <v>Aposentado</v>
      </c>
    </row>
    <row r="1000" spans="1:5">
      <c r="A1000" s="4" t="str">
        <f t="shared" si="78"/>
        <v>5</v>
      </c>
      <c r="B1000" s="4" t="str">
        <f>"ANTONIO CARLOS MARCOLINO"</f>
        <v>ANTONIO CARLOS MARCOLINO</v>
      </c>
      <c r="C1000" s="4" t="str">
        <f>"OFICIAL DE PRODUCAO INDUSTRIAL"</f>
        <v>OFICIAL DE PRODUCAO INDUSTRIAL</v>
      </c>
      <c r="D1000" s="5">
        <v>500</v>
      </c>
      <c r="E1000" s="4" t="str">
        <f>"Funcionário"</f>
        <v>Funcionário</v>
      </c>
    </row>
    <row r="1001" spans="1:5">
      <c r="A1001" s="4" t="str">
        <f t="shared" si="78"/>
        <v>5</v>
      </c>
      <c r="B1001" s="4" t="str">
        <f>"ANTONIO CARLOS SILVA ROSA"</f>
        <v>ANTONIO CARLOS SILVA ROSA</v>
      </c>
      <c r="C1001" s="4" t="str">
        <f>"MILITAR DA ATIVA"</f>
        <v>MILITAR DA ATIVA</v>
      </c>
      <c r="D1001" s="5">
        <v>505</v>
      </c>
      <c r="E1001" s="4" t="str">
        <f>"Funcionário"</f>
        <v>Funcionário</v>
      </c>
    </row>
    <row r="1002" spans="1:5">
      <c r="A1002" s="4" t="str">
        <f t="shared" ref="A1002:A1065" si="82">"5"</f>
        <v>5</v>
      </c>
      <c r="B1002" s="4" t="str">
        <f>"ANTONIO CLARET MAURICIO"</f>
        <v>ANTONIO CLARET MAURICIO</v>
      </c>
      <c r="C1002" s="4" t="str">
        <f>"AUXILIAR TECNICO INDUSTRIAL"</f>
        <v>AUXILIAR TECNICO INDUSTRIAL</v>
      </c>
      <c r="D1002" s="5">
        <v>500</v>
      </c>
      <c r="E1002" s="4" t="str">
        <f>"Funcionário"</f>
        <v>Funcionário</v>
      </c>
    </row>
    <row r="1003" spans="1:5">
      <c r="A1003" s="4" t="str">
        <f t="shared" si="82"/>
        <v>5</v>
      </c>
      <c r="B1003" s="4" t="str">
        <f>"ANTONIO FERNANDO DA SILVA"</f>
        <v>ANTONIO FERNANDO DA SILVA</v>
      </c>
      <c r="C1003" s="4" t="str">
        <f>"OF FERRAMENTARIA INDUSTRIAL"</f>
        <v>OF FERRAMENTARIA INDUSTRIAL</v>
      </c>
      <c r="D1003" s="5">
        <v>500</v>
      </c>
      <c r="E1003" s="4" t="str">
        <f>"Aposentado"</f>
        <v>Aposentado</v>
      </c>
    </row>
    <row r="1004" spans="1:5">
      <c r="A1004" s="4" t="str">
        <f t="shared" si="82"/>
        <v>5</v>
      </c>
      <c r="B1004" s="4" t="str">
        <f>"ANTONIO MARCOS DA SILVA"</f>
        <v>ANTONIO MARCOS DA SILVA</v>
      </c>
      <c r="C1004" s="4" t="str">
        <f>"OFICIAL DE PRODUCAO INDUSTRIAL"</f>
        <v>OFICIAL DE PRODUCAO INDUSTRIAL</v>
      </c>
      <c r="D1004" s="5">
        <v>500</v>
      </c>
      <c r="E1004" s="4" t="str">
        <f>"Funcionário"</f>
        <v>Funcionário</v>
      </c>
    </row>
    <row r="1005" spans="1:5">
      <c r="A1005" s="4" t="str">
        <f t="shared" si="82"/>
        <v>5</v>
      </c>
      <c r="B1005" s="4" t="str">
        <f>"ANTONIO MARCOS DE FARIA"</f>
        <v>ANTONIO MARCOS DE FARIA</v>
      </c>
      <c r="C1005" s="4" t="str">
        <f>"AUX TECNICO ADMINISTRATIVO"</f>
        <v>AUX TECNICO ADMINISTRATIVO</v>
      </c>
      <c r="D1005" s="5">
        <v>500</v>
      </c>
      <c r="E1005" s="4" t="str">
        <f>"Funcionário"</f>
        <v>Funcionário</v>
      </c>
    </row>
    <row r="1006" spans="1:5">
      <c r="A1006" s="4" t="str">
        <f t="shared" si="82"/>
        <v>5</v>
      </c>
      <c r="B1006" s="4" t="str">
        <f>"ANTONIO MARCOS FELIX"</f>
        <v>ANTONIO MARCOS FELIX</v>
      </c>
      <c r="C1006" s="4" t="str">
        <f>"OFICIAL DE PRODUCAO INDUSTRIAL"</f>
        <v>OFICIAL DE PRODUCAO INDUSTRIAL</v>
      </c>
      <c r="D1006" s="5">
        <v>500</v>
      </c>
      <c r="E1006" s="4" t="str">
        <f>"Funcionário"</f>
        <v>Funcionário</v>
      </c>
    </row>
    <row r="1007" spans="1:5">
      <c r="A1007" s="4" t="str">
        <f t="shared" si="82"/>
        <v>5</v>
      </c>
      <c r="B1007" s="4" t="str">
        <f>"ANTONIO MATIAS RIBEIRO"</f>
        <v>ANTONIO MATIAS RIBEIRO</v>
      </c>
      <c r="C1007" s="4" t="str">
        <f>"OFICIAL DE PRODUCAO INDUSTRIAL"</f>
        <v>OFICIAL DE PRODUCAO INDUSTRIAL</v>
      </c>
      <c r="D1007" s="5">
        <v>500</v>
      </c>
      <c r="E1007" s="4" t="str">
        <f>"Aposentado"</f>
        <v>Aposentado</v>
      </c>
    </row>
    <row r="1008" spans="1:5">
      <c r="A1008" s="4" t="str">
        <f t="shared" si="82"/>
        <v>5</v>
      </c>
      <c r="B1008" s="4" t="str">
        <f>"ANTONIO RAIMUNDO MEREU"</f>
        <v>ANTONIO RAIMUNDO MEREU</v>
      </c>
      <c r="C1008" s="4" t="str">
        <f>"OFICIAL DE PRODUCAO INDUSTRIAL"</f>
        <v>OFICIAL DE PRODUCAO INDUSTRIAL</v>
      </c>
      <c r="D1008" s="5">
        <v>500</v>
      </c>
      <c r="E1008" s="4" t="str">
        <f>"Aposentado"</f>
        <v>Aposentado</v>
      </c>
    </row>
    <row r="1009" spans="1:5">
      <c r="A1009" s="4" t="str">
        <f t="shared" si="82"/>
        <v>5</v>
      </c>
      <c r="B1009" s="4" t="str">
        <f>"APARECIDA DE CASSIA LEOPOLDINO SANTANA"</f>
        <v>APARECIDA DE CASSIA LEOPOLDINO SANTANA</v>
      </c>
      <c r="C1009" s="4" t="str">
        <f>"AGENTE DE APOIO OPERACIONAL"</f>
        <v>AGENTE DE APOIO OPERACIONAL</v>
      </c>
      <c r="D1009" s="5">
        <v>500</v>
      </c>
      <c r="E1009" s="4" t="str">
        <f>"Funcionário"</f>
        <v>Funcionário</v>
      </c>
    </row>
    <row r="1010" spans="1:5">
      <c r="A1010" s="4" t="str">
        <f t="shared" si="82"/>
        <v>5</v>
      </c>
      <c r="B1010" s="4" t="str">
        <f>"APARECIDA GOMES DE LIMA COSTA"</f>
        <v>APARECIDA GOMES DE LIMA COSTA</v>
      </c>
      <c r="C1010" s="4" t="str">
        <f>"OFICIAL DE PRODUCAO INDUSTRIAL"</f>
        <v>OFICIAL DE PRODUCAO INDUSTRIAL</v>
      </c>
      <c r="D1010" s="5">
        <v>500</v>
      </c>
      <c r="E1010" s="4" t="str">
        <f>"Funcionário"</f>
        <v>Funcionário</v>
      </c>
    </row>
    <row r="1011" spans="1:5">
      <c r="A1011" s="4" t="str">
        <f t="shared" si="82"/>
        <v>5</v>
      </c>
      <c r="B1011" s="4" t="str">
        <f>"ARILSON MARTINS DE SOUZA"</f>
        <v>ARILSON MARTINS DE SOUZA</v>
      </c>
      <c r="C1011" s="4" t="str">
        <f>"OFICIAL DE PRODUCAO INDUSTRIAL"</f>
        <v>OFICIAL DE PRODUCAO INDUSTRIAL</v>
      </c>
      <c r="D1011" s="5">
        <v>500</v>
      </c>
      <c r="E1011" s="4" t="str">
        <f>"Funcionário"</f>
        <v>Funcionário</v>
      </c>
    </row>
    <row r="1012" spans="1:5">
      <c r="A1012" s="4" t="str">
        <f t="shared" si="82"/>
        <v>5</v>
      </c>
      <c r="B1012" s="4" t="str">
        <f>"ARMANDO PAULO DE CARVALHO"</f>
        <v>ARMANDO PAULO DE CARVALHO</v>
      </c>
      <c r="C1012" s="4" t="str">
        <f>"OPER PRODUCAO III"</f>
        <v>OPER PRODUCAO III</v>
      </c>
      <c r="D1012" s="5">
        <v>500</v>
      </c>
      <c r="E1012" s="4" t="str">
        <f>"Funcionário"</f>
        <v>Funcionário</v>
      </c>
    </row>
    <row r="1013" spans="1:5">
      <c r="A1013" s="4" t="str">
        <f t="shared" si="82"/>
        <v>5</v>
      </c>
      <c r="B1013" s="4" t="str">
        <f>"AUGUSTO CESAR DE CASTRO"</f>
        <v>AUGUSTO CESAR DE CASTRO</v>
      </c>
      <c r="C1013" s="4" t="str">
        <f>"AUX TECNICO ADMINISTRATIVO"</f>
        <v>AUX TECNICO ADMINISTRATIVO</v>
      </c>
      <c r="D1013" s="5">
        <v>500</v>
      </c>
      <c r="E1013" s="4" t="str">
        <f>"Aposentado"</f>
        <v>Aposentado</v>
      </c>
    </row>
    <row r="1014" spans="1:5">
      <c r="A1014" s="4" t="str">
        <f t="shared" si="82"/>
        <v>5</v>
      </c>
      <c r="B1014" s="4" t="str">
        <f>"AURILIO CASSIANO FERREIRA"</f>
        <v>AURILIO CASSIANO FERREIRA</v>
      </c>
      <c r="C1014" s="4" t="str">
        <f>"AGENTE DE APOIO OPERACIONAL"</f>
        <v>AGENTE DE APOIO OPERACIONAL</v>
      </c>
      <c r="D1014" s="5">
        <v>500</v>
      </c>
      <c r="E1014" s="4" t="str">
        <f>"Funcionário"</f>
        <v>Funcionário</v>
      </c>
    </row>
    <row r="1015" spans="1:5">
      <c r="A1015" s="4" t="str">
        <f t="shared" si="82"/>
        <v>5</v>
      </c>
      <c r="B1015" s="4" t="str">
        <f>"BARBARA VITORIA MARTINS PINTO"</f>
        <v>BARBARA VITORIA MARTINS PINTO</v>
      </c>
      <c r="C1015" s="4" t="str">
        <f>"Estagiario"</f>
        <v>Estagiario</v>
      </c>
      <c r="D1015" s="5">
        <v>502</v>
      </c>
      <c r="E1015" s="4" t="str">
        <f>"Estagiário"</f>
        <v>Estagiário</v>
      </c>
    </row>
    <row r="1016" spans="1:5">
      <c r="A1016" s="4" t="str">
        <f t="shared" si="82"/>
        <v>5</v>
      </c>
      <c r="B1016" s="4" t="str">
        <f>"BENEDITA SILVANA DOS SANTOS"</f>
        <v>BENEDITA SILVANA DOS SANTOS</v>
      </c>
      <c r="C1016" s="4" t="str">
        <f>"OFICIAL DE PRODUCAO INDUSTRIAL"</f>
        <v>OFICIAL DE PRODUCAO INDUSTRIAL</v>
      </c>
      <c r="D1016" s="5">
        <v>500</v>
      </c>
      <c r="E1016" s="4" t="str">
        <f>"Aposentado"</f>
        <v>Aposentado</v>
      </c>
    </row>
    <row r="1017" spans="1:5">
      <c r="A1017" s="4" t="str">
        <f t="shared" si="82"/>
        <v>5</v>
      </c>
      <c r="B1017" s="4" t="str">
        <f>"BENEDITO CLAUDIO DA SILVA"</f>
        <v>BENEDITO CLAUDIO DA SILVA</v>
      </c>
      <c r="C1017" s="4" t="str">
        <f>"OFICIAL DE PRODUCAO INDUSTRIAL"</f>
        <v>OFICIAL DE PRODUCAO INDUSTRIAL</v>
      </c>
      <c r="D1017" s="5">
        <v>500</v>
      </c>
      <c r="E1017" s="4" t="str">
        <f>"Aposentado"</f>
        <v>Aposentado</v>
      </c>
    </row>
    <row r="1018" spans="1:5">
      <c r="A1018" s="4" t="str">
        <f t="shared" si="82"/>
        <v>5</v>
      </c>
      <c r="B1018" s="4" t="str">
        <f>"BENEDITO DOS SANTOS PEDROSO"</f>
        <v>BENEDITO DOS SANTOS PEDROSO</v>
      </c>
      <c r="C1018" s="4" t="str">
        <f>"OF FERRAMENTARIA INDUSTRIAL"</f>
        <v>OF FERRAMENTARIA INDUSTRIAL</v>
      </c>
      <c r="D1018" s="5">
        <v>500</v>
      </c>
      <c r="E1018" s="4" t="str">
        <f>"Funcionário"</f>
        <v>Funcionário</v>
      </c>
    </row>
    <row r="1019" spans="1:5">
      <c r="A1019" s="4" t="str">
        <f t="shared" si="82"/>
        <v>5</v>
      </c>
      <c r="B1019" s="4" t="str">
        <f>"BENEDITO PRUDENCIO"</f>
        <v>BENEDITO PRUDENCIO</v>
      </c>
      <c r="C1019" s="4" t="str">
        <f>"AUXILIAR TECNICO INDUSTRIAL"</f>
        <v>AUXILIAR TECNICO INDUSTRIAL</v>
      </c>
      <c r="D1019" s="5">
        <v>500</v>
      </c>
      <c r="E1019" s="4" t="str">
        <f>"Aposentado"</f>
        <v>Aposentado</v>
      </c>
    </row>
    <row r="1020" spans="1:5">
      <c r="A1020" s="4" t="str">
        <f t="shared" si="82"/>
        <v>5</v>
      </c>
      <c r="B1020" s="4" t="str">
        <f>"BENEDITO RAIMUNDO DOS SANTOS"</f>
        <v>BENEDITO RAIMUNDO DOS SANTOS</v>
      </c>
      <c r="C1020" s="4" t="str">
        <f>"OFICIAL DE PRODUCAO INDUSTRIAL"</f>
        <v>OFICIAL DE PRODUCAO INDUSTRIAL</v>
      </c>
      <c r="D1020" s="5">
        <v>500</v>
      </c>
      <c r="E1020" s="4" t="str">
        <f>"Funcionário"</f>
        <v>Funcionário</v>
      </c>
    </row>
    <row r="1021" spans="1:5">
      <c r="A1021" s="4" t="str">
        <f t="shared" si="82"/>
        <v>5</v>
      </c>
      <c r="B1021" s="4" t="str">
        <f>"BENEDITO RAIMUNDO VENANCIO"</f>
        <v>BENEDITO RAIMUNDO VENANCIO</v>
      </c>
      <c r="C1021" s="4" t="str">
        <f>"TEC INDUSTRIAL ESPECIALIZADO"</f>
        <v>TEC INDUSTRIAL ESPECIALIZADO</v>
      </c>
      <c r="D1021" s="5">
        <v>500</v>
      </c>
      <c r="E1021" s="4" t="str">
        <f>"Aposentado"</f>
        <v>Aposentado</v>
      </c>
    </row>
    <row r="1022" spans="1:5">
      <c r="A1022" s="4" t="str">
        <f t="shared" si="82"/>
        <v>5</v>
      </c>
      <c r="B1022" s="4" t="str">
        <f>"BENEDITO RITA"</f>
        <v>BENEDITO RITA</v>
      </c>
      <c r="C1022" s="4" t="str">
        <f>"TEC INDUSTRIAL ESPECIALIZADO"</f>
        <v>TEC INDUSTRIAL ESPECIALIZADO</v>
      </c>
      <c r="D1022" s="5">
        <v>500</v>
      </c>
      <c r="E1022" s="4" t="str">
        <f>"Aposentado"</f>
        <v>Aposentado</v>
      </c>
    </row>
    <row r="1023" spans="1:5">
      <c r="A1023" s="4" t="str">
        <f t="shared" si="82"/>
        <v>5</v>
      </c>
      <c r="B1023" s="4" t="str">
        <f>"BENITA ALVES RIBEIRO"</f>
        <v>BENITA ALVES RIBEIRO</v>
      </c>
      <c r="C1023" s="4" t="str">
        <f>"AUX TECNICO ADMINISTRATIVO"</f>
        <v>AUX TECNICO ADMINISTRATIVO</v>
      </c>
      <c r="D1023" s="5">
        <v>500</v>
      </c>
      <c r="E1023" s="4" t="str">
        <f>"Funcionário"</f>
        <v>Funcionário</v>
      </c>
    </row>
    <row r="1024" spans="1:5">
      <c r="A1024" s="4" t="str">
        <f t="shared" si="82"/>
        <v>5</v>
      </c>
      <c r="B1024" s="4" t="str">
        <f>"BRAZ ANTONIO RIBEIRO"</f>
        <v>BRAZ ANTONIO RIBEIRO</v>
      </c>
      <c r="C1024" s="4" t="str">
        <f>"OFICIAL DE PRODUCAO INDUSTRIAL"</f>
        <v>OFICIAL DE PRODUCAO INDUSTRIAL</v>
      </c>
      <c r="D1024" s="5">
        <v>500</v>
      </c>
      <c r="E1024" s="4" t="str">
        <f>"Funcionário"</f>
        <v>Funcionário</v>
      </c>
    </row>
    <row r="1025" spans="1:5">
      <c r="A1025" s="4" t="str">
        <f t="shared" si="82"/>
        <v>5</v>
      </c>
      <c r="B1025" s="4" t="str">
        <f>"BRENDA EDUARDA SILVA"</f>
        <v>BRENDA EDUARDA SILVA</v>
      </c>
      <c r="C1025" s="4" t="str">
        <f>"Estagiario"</f>
        <v>Estagiario</v>
      </c>
      <c r="D1025" s="5">
        <v>502</v>
      </c>
      <c r="E1025" s="4" t="str">
        <f>"Estagiário"</f>
        <v>Estagiário</v>
      </c>
    </row>
    <row r="1026" spans="1:5">
      <c r="A1026" s="4" t="str">
        <f t="shared" si="82"/>
        <v>5</v>
      </c>
      <c r="B1026" s="4" t="str">
        <f>"BRUNA GRACIELE DA SILVA"</f>
        <v>BRUNA GRACIELE DA SILVA</v>
      </c>
      <c r="C1026" s="4" t="str">
        <f>"OFICIAL DE PRODUCAO INDUSTRIAL"</f>
        <v>OFICIAL DE PRODUCAO INDUSTRIAL</v>
      </c>
      <c r="D1026" s="5">
        <v>500</v>
      </c>
      <c r="E1026" s="4" t="str">
        <f>"Funcionário"</f>
        <v>Funcionário</v>
      </c>
    </row>
    <row r="1027" spans="1:5">
      <c r="A1027" s="4" t="str">
        <f t="shared" si="82"/>
        <v>5</v>
      </c>
      <c r="B1027" s="4" t="str">
        <f>"BRUNO LUIS FERREIRA CESARIO"</f>
        <v>BRUNO LUIS FERREIRA CESARIO</v>
      </c>
      <c r="C1027" s="4" t="str">
        <f>"MILITAR DA ATIVA"</f>
        <v>MILITAR DA ATIVA</v>
      </c>
      <c r="D1027" s="5">
        <v>505</v>
      </c>
      <c r="E1027" s="4" t="str">
        <f>"Funcionário"</f>
        <v>Funcionário</v>
      </c>
    </row>
    <row r="1028" spans="1:5">
      <c r="A1028" s="4" t="str">
        <f t="shared" si="82"/>
        <v>5</v>
      </c>
      <c r="B1028" s="4" t="str">
        <f>"CAMILA LUCIA DA SILVA REIS CANDIDO"</f>
        <v>CAMILA LUCIA DA SILVA REIS CANDIDO</v>
      </c>
      <c r="C1028" s="4" t="str">
        <f>"OFICIAL DE PRODUCAO INDUSTRIAL"</f>
        <v>OFICIAL DE PRODUCAO INDUSTRIAL</v>
      </c>
      <c r="D1028" s="5">
        <v>500</v>
      </c>
      <c r="E1028" s="4" t="str">
        <f>"Funcionário"</f>
        <v>Funcionário</v>
      </c>
    </row>
    <row r="1029" spans="1:5">
      <c r="A1029" s="4" t="str">
        <f t="shared" si="82"/>
        <v>5</v>
      </c>
      <c r="B1029" s="4" t="str">
        <f>"CARLA CAROLINE DE OLIVEIRA"</f>
        <v>CARLA CAROLINE DE OLIVEIRA</v>
      </c>
      <c r="C1029" s="4" t="str">
        <f>"AUX TECNICO ADMINISTRATIVO"</f>
        <v>AUX TECNICO ADMINISTRATIVO</v>
      </c>
      <c r="D1029" s="5">
        <v>500</v>
      </c>
      <c r="E1029" s="4" t="str">
        <f>"Funcionário"</f>
        <v>Funcionário</v>
      </c>
    </row>
    <row r="1030" spans="1:5">
      <c r="A1030" s="4" t="str">
        <f t="shared" si="82"/>
        <v>5</v>
      </c>
      <c r="B1030" s="4" t="str">
        <f>"CARLOS ALBERTO DA COSTA"</f>
        <v>CARLOS ALBERTO DA COSTA</v>
      </c>
      <c r="C1030" s="4" t="str">
        <f>"OFICIAL DE PRODUCAO INDUSTRIAL"</f>
        <v>OFICIAL DE PRODUCAO INDUSTRIAL</v>
      </c>
      <c r="D1030" s="5">
        <v>500</v>
      </c>
      <c r="E1030" s="4" t="str">
        <f>"Funcionário"</f>
        <v>Funcionário</v>
      </c>
    </row>
    <row r="1031" spans="1:5">
      <c r="A1031" s="4" t="str">
        <f t="shared" si="82"/>
        <v>5</v>
      </c>
      <c r="B1031" s="4" t="str">
        <f>"CARLOS ALBERTO MAGALHAES"</f>
        <v>CARLOS ALBERTO MAGALHAES</v>
      </c>
      <c r="C1031" s="4" t="str">
        <f>"ENGENHEIRO"</f>
        <v>ENGENHEIRO</v>
      </c>
      <c r="D1031" s="5">
        <v>500</v>
      </c>
      <c r="E1031" s="4" t="str">
        <f>"Aposentado"</f>
        <v>Aposentado</v>
      </c>
    </row>
    <row r="1032" spans="1:5">
      <c r="A1032" s="4" t="str">
        <f t="shared" si="82"/>
        <v>5</v>
      </c>
      <c r="B1032" s="4" t="str">
        <f>"CARLOS ALBERTO MARTINS"</f>
        <v>CARLOS ALBERTO MARTINS</v>
      </c>
      <c r="C1032" s="4" t="str">
        <f>"AUXILIAR TECNICO INDUSTRIAL"</f>
        <v>AUXILIAR TECNICO INDUSTRIAL</v>
      </c>
      <c r="D1032" s="5">
        <v>500</v>
      </c>
      <c r="E1032" s="4" t="str">
        <f>"Aposentado"</f>
        <v>Aposentado</v>
      </c>
    </row>
    <row r="1033" spans="1:5">
      <c r="A1033" s="4" t="str">
        <f t="shared" si="82"/>
        <v>5</v>
      </c>
      <c r="B1033" s="4" t="str">
        <f>"CARLOS ALBERTO VITALINO"</f>
        <v>CARLOS ALBERTO VITALINO</v>
      </c>
      <c r="C1033" s="4" t="str">
        <f>"TEC INDUSTRIAL ESPECIALIZADO"</f>
        <v>TEC INDUSTRIAL ESPECIALIZADO</v>
      </c>
      <c r="D1033" s="5">
        <v>500</v>
      </c>
      <c r="E1033" s="4" t="str">
        <f>"Aposentado"</f>
        <v>Aposentado</v>
      </c>
    </row>
    <row r="1034" spans="1:5">
      <c r="A1034" s="4" t="str">
        <f t="shared" si="82"/>
        <v>5</v>
      </c>
      <c r="B1034" s="4" t="str">
        <f>"CARLOS ANTONIO CARVALHO"</f>
        <v>CARLOS ANTONIO CARVALHO</v>
      </c>
      <c r="C1034" s="4" t="str">
        <f>"AUX TECNICO ADMINISTRATIVO"</f>
        <v>AUX TECNICO ADMINISTRATIVO</v>
      </c>
      <c r="D1034" s="5">
        <v>500</v>
      </c>
      <c r="E1034" s="4" t="str">
        <f>"Funcionário"</f>
        <v>Funcionário</v>
      </c>
    </row>
    <row r="1035" spans="1:5">
      <c r="A1035" s="4" t="str">
        <f t="shared" si="82"/>
        <v>5</v>
      </c>
      <c r="B1035" s="4" t="str">
        <f>"CARLOS EDUARDO DA COSTA"</f>
        <v>CARLOS EDUARDO DA COSTA</v>
      </c>
      <c r="C1035" s="4" t="str">
        <f>"OF FERRAMENTARIA INDUSTRIAL"</f>
        <v>OF FERRAMENTARIA INDUSTRIAL</v>
      </c>
      <c r="D1035" s="5">
        <v>500</v>
      </c>
      <c r="E1035" s="4" t="str">
        <f>"Aposentado"</f>
        <v>Aposentado</v>
      </c>
    </row>
    <row r="1036" spans="1:5">
      <c r="A1036" s="4" t="str">
        <f t="shared" si="82"/>
        <v>5</v>
      </c>
      <c r="B1036" s="4" t="str">
        <f>"CARLOS EDUARDO DEL GALLO JUNIOR"</f>
        <v>CARLOS EDUARDO DEL GALLO JUNIOR</v>
      </c>
      <c r="C1036" s="4" t="str">
        <f>"MILITAR DA ATIVA"</f>
        <v>MILITAR DA ATIVA</v>
      </c>
      <c r="D1036" s="5">
        <v>505</v>
      </c>
      <c r="E1036" s="4" t="str">
        <f>"Funcionário"</f>
        <v>Funcionário</v>
      </c>
    </row>
    <row r="1037" spans="1:5">
      <c r="A1037" s="4" t="str">
        <f t="shared" si="82"/>
        <v>5</v>
      </c>
      <c r="B1037" s="4" t="str">
        <f>"CARLOS HENRIQUE ANICETO"</f>
        <v>CARLOS HENRIQUE ANICETO</v>
      </c>
      <c r="C1037" s="4" t="str">
        <f>"OF FERRAMENTARIA INDUSTRIAL"</f>
        <v>OF FERRAMENTARIA INDUSTRIAL</v>
      </c>
      <c r="D1037" s="5">
        <v>500</v>
      </c>
      <c r="E1037" s="4" t="str">
        <f>"Aposentado"</f>
        <v>Aposentado</v>
      </c>
    </row>
    <row r="1038" spans="1:5">
      <c r="A1038" s="4" t="str">
        <f t="shared" si="82"/>
        <v>5</v>
      </c>
      <c r="B1038" s="4" t="str">
        <f>"CARLOS HEVERTON DO CARMO"</f>
        <v>CARLOS HEVERTON DO CARMO</v>
      </c>
      <c r="C1038" s="4" t="str">
        <f>"OFICIAL DE PRODUCAO INDUSTRIAL"</f>
        <v>OFICIAL DE PRODUCAO INDUSTRIAL</v>
      </c>
      <c r="D1038" s="5">
        <v>500</v>
      </c>
      <c r="E1038" s="4" t="str">
        <f>"Funcionário"</f>
        <v>Funcionário</v>
      </c>
    </row>
    <row r="1039" spans="1:5">
      <c r="A1039" s="4" t="str">
        <f t="shared" si="82"/>
        <v>5</v>
      </c>
      <c r="B1039" s="4" t="str">
        <f>"CARLOS JOSE ARAUJO"</f>
        <v>CARLOS JOSE ARAUJO</v>
      </c>
      <c r="C1039" s="4" t="str">
        <f>"OFICIAL DE PRODUCAO INDUSTRIAL"</f>
        <v>OFICIAL DE PRODUCAO INDUSTRIAL</v>
      </c>
      <c r="D1039" s="5">
        <v>500</v>
      </c>
      <c r="E1039" s="4" t="str">
        <f>"Aposentado"</f>
        <v>Aposentado</v>
      </c>
    </row>
    <row r="1040" spans="1:5">
      <c r="A1040" s="4" t="str">
        <f t="shared" si="82"/>
        <v>5</v>
      </c>
      <c r="B1040" s="4" t="str">
        <f>"CARLOS JOSE DE ARAUJO"</f>
        <v>CARLOS JOSE DE ARAUJO</v>
      </c>
      <c r="C1040" s="4" t="str">
        <f>"OFICIAL DE PRODUCAO INDUSTRIAL"</f>
        <v>OFICIAL DE PRODUCAO INDUSTRIAL</v>
      </c>
      <c r="D1040" s="5">
        <v>500</v>
      </c>
      <c r="E1040" s="4" t="str">
        <f>"Funcionário"</f>
        <v>Funcionário</v>
      </c>
    </row>
    <row r="1041" spans="1:5">
      <c r="A1041" s="4" t="str">
        <f t="shared" si="82"/>
        <v>5</v>
      </c>
      <c r="B1041" s="4" t="str">
        <f>"CARLOS JOSE DOS SANTOS SOUZA"</f>
        <v>CARLOS JOSE DOS SANTOS SOUZA</v>
      </c>
      <c r="C1041" s="4" t="str">
        <f>"AUX TECNICO ADMINISTRATIVO"</f>
        <v>AUX TECNICO ADMINISTRATIVO</v>
      </c>
      <c r="D1041" s="5">
        <v>500</v>
      </c>
      <c r="E1041" s="4" t="str">
        <f>"Funcionário"</f>
        <v>Funcionário</v>
      </c>
    </row>
    <row r="1042" spans="1:5">
      <c r="A1042" s="4" t="str">
        <f t="shared" si="82"/>
        <v>5</v>
      </c>
      <c r="B1042" s="4" t="str">
        <f>"CARLOS ROBERTO LORENA"</f>
        <v>CARLOS ROBERTO LORENA</v>
      </c>
      <c r="C1042" s="4" t="str">
        <f>"OFICIAL DE PRODUCAO INDUSTRIAL"</f>
        <v>OFICIAL DE PRODUCAO INDUSTRIAL</v>
      </c>
      <c r="D1042" s="5">
        <v>500</v>
      </c>
      <c r="E1042" s="4" t="str">
        <f>"Funcionário"</f>
        <v>Funcionário</v>
      </c>
    </row>
    <row r="1043" spans="1:5">
      <c r="A1043" s="4" t="str">
        <f t="shared" si="82"/>
        <v>5</v>
      </c>
      <c r="B1043" s="4" t="str">
        <f>"CARLOS ROBERTO PEREIRA"</f>
        <v>CARLOS ROBERTO PEREIRA</v>
      </c>
      <c r="C1043" s="4" t="str">
        <f>"FERRAMENTEIRO III"</f>
        <v>FERRAMENTEIRO III</v>
      </c>
      <c r="D1043" s="5">
        <v>500</v>
      </c>
      <c r="E1043" s="4" t="str">
        <f>"Funcionário"</f>
        <v>Funcionário</v>
      </c>
    </row>
    <row r="1044" spans="1:5">
      <c r="A1044" s="4" t="str">
        <f t="shared" si="82"/>
        <v>5</v>
      </c>
      <c r="B1044" s="4" t="str">
        <f>"CARLOS ROBERTO RIBEIRO"</f>
        <v>CARLOS ROBERTO RIBEIRO</v>
      </c>
      <c r="C1044" s="4" t="str">
        <f>"OF FERRAMENTARIA INDUSTRIAL"</f>
        <v>OF FERRAMENTARIA INDUSTRIAL</v>
      </c>
      <c r="D1044" s="5">
        <v>500</v>
      </c>
      <c r="E1044" s="4" t="str">
        <f>"Aposentado"</f>
        <v>Aposentado</v>
      </c>
    </row>
    <row r="1045" spans="1:5">
      <c r="A1045" s="4" t="str">
        <f t="shared" si="82"/>
        <v>5</v>
      </c>
      <c r="B1045" s="4" t="str">
        <f>"CELIA APARECIDA DIAS FERREIRA"</f>
        <v>CELIA APARECIDA DIAS FERREIRA</v>
      </c>
      <c r="C1045" s="4" t="str">
        <f>"AUX TECNICO ADMINISTRATIVO"</f>
        <v>AUX TECNICO ADMINISTRATIVO</v>
      </c>
      <c r="D1045" s="5">
        <v>500</v>
      </c>
      <c r="E1045" s="4" t="str">
        <f>"Funcionário"</f>
        <v>Funcionário</v>
      </c>
    </row>
    <row r="1046" spans="1:5">
      <c r="A1046" s="4" t="str">
        <f t="shared" si="82"/>
        <v>5</v>
      </c>
      <c r="B1046" s="4" t="str">
        <f>"CELIO RONALDO DE CARVALHO SILVA"</f>
        <v>CELIO RONALDO DE CARVALHO SILVA</v>
      </c>
      <c r="C1046" s="4" t="str">
        <f>"OPER PRODUCAO III"</f>
        <v>OPER PRODUCAO III</v>
      </c>
      <c r="D1046" s="5">
        <v>500</v>
      </c>
      <c r="E1046" s="4" t="str">
        <f>"Funcionário"</f>
        <v>Funcionário</v>
      </c>
    </row>
    <row r="1047" spans="1:5">
      <c r="A1047" s="4" t="str">
        <f t="shared" si="82"/>
        <v>5</v>
      </c>
      <c r="B1047" s="4" t="str">
        <f>"CELIO TEODORO DOS SANTOS"</f>
        <v>CELIO TEODORO DOS SANTOS</v>
      </c>
      <c r="C1047" s="4" t="str">
        <f>"TEC INDUSTRIAL ESPECIALIZADO"</f>
        <v>TEC INDUSTRIAL ESPECIALIZADO</v>
      </c>
      <c r="D1047" s="5">
        <v>500</v>
      </c>
      <c r="E1047" s="4" t="str">
        <f>"Funcionário"</f>
        <v>Funcionário</v>
      </c>
    </row>
    <row r="1048" spans="1:5">
      <c r="A1048" s="4" t="str">
        <f t="shared" si="82"/>
        <v>5</v>
      </c>
      <c r="B1048" s="4" t="str">
        <f>"CELSO AUGUSTO DE SOUSA"</f>
        <v>CELSO AUGUSTO DE SOUSA</v>
      </c>
      <c r="C1048" s="4" t="str">
        <f t="shared" ref="C1048:C1056" si="83">"OFICIAL DE PRODUCAO INDUSTRIAL"</f>
        <v>OFICIAL DE PRODUCAO INDUSTRIAL</v>
      </c>
      <c r="D1048" s="5">
        <v>500</v>
      </c>
      <c r="E1048" s="4" t="str">
        <f>"Funcionário"</f>
        <v>Funcionário</v>
      </c>
    </row>
    <row r="1049" spans="1:5">
      <c r="A1049" s="4" t="str">
        <f t="shared" si="82"/>
        <v>5</v>
      </c>
      <c r="B1049" s="4" t="str">
        <f>"CELSO BATISTA DE OLIVEIRA"</f>
        <v>CELSO BATISTA DE OLIVEIRA</v>
      </c>
      <c r="C1049" s="4" t="str">
        <f t="shared" si="83"/>
        <v>OFICIAL DE PRODUCAO INDUSTRIAL</v>
      </c>
      <c r="D1049" s="5">
        <v>500</v>
      </c>
      <c r="E1049" s="4" t="str">
        <f>"Aposentado"</f>
        <v>Aposentado</v>
      </c>
    </row>
    <row r="1050" spans="1:5">
      <c r="A1050" s="4" t="str">
        <f t="shared" si="82"/>
        <v>5</v>
      </c>
      <c r="B1050" s="4" t="str">
        <f>"CELSO RICARDO DE TOLEDO"</f>
        <v>CELSO RICARDO DE TOLEDO</v>
      </c>
      <c r="C1050" s="4" t="str">
        <f t="shared" si="83"/>
        <v>OFICIAL DE PRODUCAO INDUSTRIAL</v>
      </c>
      <c r="D1050" s="5">
        <v>500</v>
      </c>
      <c r="E1050" s="4" t="str">
        <f>"Funcionário"</f>
        <v>Funcionário</v>
      </c>
    </row>
    <row r="1051" spans="1:5">
      <c r="A1051" s="4" t="str">
        <f t="shared" si="82"/>
        <v>5</v>
      </c>
      <c r="B1051" s="4" t="str">
        <f>"CEZAR BENEDITO LUZ"</f>
        <v>CEZAR BENEDITO LUZ</v>
      </c>
      <c r="C1051" s="4" t="str">
        <f t="shared" si="83"/>
        <v>OFICIAL DE PRODUCAO INDUSTRIAL</v>
      </c>
      <c r="D1051" s="5">
        <v>500</v>
      </c>
      <c r="E1051" s="4" t="str">
        <f>"Aposentado"</f>
        <v>Aposentado</v>
      </c>
    </row>
    <row r="1052" spans="1:5">
      <c r="A1052" s="4" t="str">
        <f t="shared" si="82"/>
        <v>5</v>
      </c>
      <c r="B1052" s="4" t="str">
        <f>"CINTIA SILVERIO"</f>
        <v>CINTIA SILVERIO</v>
      </c>
      <c r="C1052" s="4" t="str">
        <f t="shared" si="83"/>
        <v>OFICIAL DE PRODUCAO INDUSTRIAL</v>
      </c>
      <c r="D1052" s="5">
        <v>500</v>
      </c>
      <c r="E1052" s="4" t="str">
        <f>"Funcionário"</f>
        <v>Funcionário</v>
      </c>
    </row>
    <row r="1053" spans="1:5">
      <c r="A1053" s="4" t="str">
        <f t="shared" si="82"/>
        <v>5</v>
      </c>
      <c r="B1053" s="4" t="str">
        <f>"CLAUDEMIR TAVARES DOS REIS"</f>
        <v>CLAUDEMIR TAVARES DOS REIS</v>
      </c>
      <c r="C1053" s="4" t="str">
        <f t="shared" si="83"/>
        <v>OFICIAL DE PRODUCAO INDUSTRIAL</v>
      </c>
      <c r="D1053" s="5">
        <v>500</v>
      </c>
      <c r="E1053" s="4" t="str">
        <f>"Aposentado"</f>
        <v>Aposentado</v>
      </c>
    </row>
    <row r="1054" spans="1:5">
      <c r="A1054" s="4" t="str">
        <f t="shared" si="82"/>
        <v>5</v>
      </c>
      <c r="B1054" s="4" t="str">
        <f>"CLAUDIA EUNICE COSTA SOUZA"</f>
        <v>CLAUDIA EUNICE COSTA SOUZA</v>
      </c>
      <c r="C1054" s="4" t="str">
        <f t="shared" si="83"/>
        <v>OFICIAL DE PRODUCAO INDUSTRIAL</v>
      </c>
      <c r="D1054" s="5">
        <v>500</v>
      </c>
      <c r="E1054" s="4" t="str">
        <f>"Funcionário"</f>
        <v>Funcionário</v>
      </c>
    </row>
    <row r="1055" spans="1:5">
      <c r="A1055" s="4" t="str">
        <f t="shared" si="82"/>
        <v>5</v>
      </c>
      <c r="B1055" s="4" t="str">
        <f>"CLAUDIA HELENA BERNARDO MAGALHAES"</f>
        <v>CLAUDIA HELENA BERNARDO MAGALHAES</v>
      </c>
      <c r="C1055" s="4" t="str">
        <f t="shared" si="83"/>
        <v>OFICIAL DE PRODUCAO INDUSTRIAL</v>
      </c>
      <c r="D1055" s="5">
        <v>500</v>
      </c>
      <c r="E1055" s="4" t="str">
        <f>"Funcionário"</f>
        <v>Funcionário</v>
      </c>
    </row>
    <row r="1056" spans="1:5">
      <c r="A1056" s="4" t="str">
        <f t="shared" si="82"/>
        <v>5</v>
      </c>
      <c r="B1056" s="4" t="str">
        <f>"CLAUDIA MARIA DE PAULA OLIVEIRA"</f>
        <v>CLAUDIA MARIA DE PAULA OLIVEIRA</v>
      </c>
      <c r="C1056" s="4" t="str">
        <f t="shared" si="83"/>
        <v>OFICIAL DE PRODUCAO INDUSTRIAL</v>
      </c>
      <c r="D1056" s="5">
        <v>500</v>
      </c>
      <c r="E1056" s="4" t="str">
        <f>"Funcionário"</f>
        <v>Funcionário</v>
      </c>
    </row>
    <row r="1057" spans="1:5">
      <c r="A1057" s="4" t="str">
        <f t="shared" si="82"/>
        <v>5</v>
      </c>
      <c r="B1057" s="4" t="str">
        <f>"CLAUDILENE MARIA MENDES"</f>
        <v>CLAUDILENE MARIA MENDES</v>
      </c>
      <c r="C1057" s="4" t="str">
        <f>"TECNICO ADM ESPECIALIZADO"</f>
        <v>TECNICO ADM ESPECIALIZADO</v>
      </c>
      <c r="D1057" s="5">
        <v>500</v>
      </c>
      <c r="E1057" s="4" t="str">
        <f>"Funcionário"</f>
        <v>Funcionário</v>
      </c>
    </row>
    <row r="1058" spans="1:5">
      <c r="A1058" s="4" t="str">
        <f t="shared" si="82"/>
        <v>5</v>
      </c>
      <c r="B1058" s="4" t="str">
        <f>"CLAUDIMEIRE DE JESUS MENDES"</f>
        <v>CLAUDIMEIRE DE JESUS MENDES</v>
      </c>
      <c r="C1058" s="4" t="str">
        <f>"TECNICO ADM ESPECIALIZADO"</f>
        <v>TECNICO ADM ESPECIALIZADO</v>
      </c>
      <c r="D1058" s="5">
        <v>500</v>
      </c>
      <c r="E1058" s="4" t="str">
        <f>"Funcionário"</f>
        <v>Funcionário</v>
      </c>
    </row>
    <row r="1059" spans="1:5">
      <c r="A1059" s="4" t="str">
        <f t="shared" si="82"/>
        <v>5</v>
      </c>
      <c r="B1059" s="4" t="str">
        <f>"CLAUDINEI RIBEIRO DA SILVA"</f>
        <v>CLAUDINEI RIBEIRO DA SILVA</v>
      </c>
      <c r="C1059" s="4" t="str">
        <f>"OFICIAL DE PRODUCAO INDUSTRIAL"</f>
        <v>OFICIAL DE PRODUCAO INDUSTRIAL</v>
      </c>
      <c r="D1059" s="5">
        <v>500</v>
      </c>
      <c r="E1059" s="4" t="str">
        <f>"Aposentado"</f>
        <v>Aposentado</v>
      </c>
    </row>
    <row r="1060" spans="1:5">
      <c r="A1060" s="4" t="str">
        <f t="shared" si="82"/>
        <v>5</v>
      </c>
      <c r="B1060" s="4" t="str">
        <f>"CLAUDIO LUIZ CORTEZ"</f>
        <v>CLAUDIO LUIZ CORTEZ</v>
      </c>
      <c r="C1060" s="4" t="str">
        <f>"OF FERRAMENTARIA INDUSTRIAL"</f>
        <v>OF FERRAMENTARIA INDUSTRIAL</v>
      </c>
      <c r="D1060" s="5">
        <v>500</v>
      </c>
      <c r="E1060" s="4" t="str">
        <f>"Aposentado"</f>
        <v>Aposentado</v>
      </c>
    </row>
    <row r="1061" spans="1:5">
      <c r="A1061" s="4" t="str">
        <f t="shared" si="82"/>
        <v>5</v>
      </c>
      <c r="B1061" s="4" t="str">
        <f>"CLAUDIO MARCELINO DE TOLEDO"</f>
        <v>CLAUDIO MARCELINO DE TOLEDO</v>
      </c>
      <c r="C1061" s="4" t="str">
        <f>"TEC INDUSTRIAL ESPECIALIZADO"</f>
        <v>TEC INDUSTRIAL ESPECIALIZADO</v>
      </c>
      <c r="D1061" s="5">
        <v>500</v>
      </c>
      <c r="E1061" s="4" t="str">
        <f>"Funcionário"</f>
        <v>Funcionário</v>
      </c>
    </row>
    <row r="1062" spans="1:5">
      <c r="A1062" s="4" t="str">
        <f t="shared" si="82"/>
        <v>5</v>
      </c>
      <c r="B1062" s="4" t="str">
        <f>"CLAUDIO RAIMUNDO MAGALHAES"</f>
        <v>CLAUDIO RAIMUNDO MAGALHAES</v>
      </c>
      <c r="C1062" s="4" t="str">
        <f>"AUXILIAR TECNICO INDUSTRIAL"</f>
        <v>AUXILIAR TECNICO INDUSTRIAL</v>
      </c>
      <c r="D1062" s="5">
        <v>500</v>
      </c>
      <c r="E1062" s="4" t="str">
        <f>"Funcionário"</f>
        <v>Funcionário</v>
      </c>
    </row>
    <row r="1063" spans="1:5">
      <c r="A1063" s="4" t="str">
        <f t="shared" si="82"/>
        <v>5</v>
      </c>
      <c r="B1063" s="4" t="str">
        <f>"CLAUDIO ROBERTO DA COSTA"</f>
        <v>CLAUDIO ROBERTO DA COSTA</v>
      </c>
      <c r="C1063" s="4" t="str">
        <f>"OFICIAL DE PRODUCAO INDUSTRIAL"</f>
        <v>OFICIAL DE PRODUCAO INDUSTRIAL</v>
      </c>
      <c r="D1063" s="5">
        <v>500</v>
      </c>
      <c r="E1063" s="4" t="str">
        <f>"Funcionário"</f>
        <v>Funcionário</v>
      </c>
    </row>
    <row r="1064" spans="1:5">
      <c r="A1064" s="4" t="str">
        <f t="shared" si="82"/>
        <v>5</v>
      </c>
      <c r="B1064" s="4" t="str">
        <f>"CLAUDIOMIRO GOMES"</f>
        <v>CLAUDIOMIRO GOMES</v>
      </c>
      <c r="C1064" s="4" t="str">
        <f>"OFICIAL DE PRODUCAO INDUSTRIAL"</f>
        <v>OFICIAL DE PRODUCAO INDUSTRIAL</v>
      </c>
      <c r="D1064" s="5">
        <v>500</v>
      </c>
      <c r="E1064" s="4" t="str">
        <f>"Aposentado"</f>
        <v>Aposentado</v>
      </c>
    </row>
    <row r="1065" spans="1:5">
      <c r="A1065" s="4" t="str">
        <f t="shared" si="82"/>
        <v>5</v>
      </c>
      <c r="B1065" s="4" t="str">
        <f>"CLEIDE APARECIDA GOMES SILVERIO"</f>
        <v>CLEIDE APARECIDA GOMES SILVERIO</v>
      </c>
      <c r="C1065" s="4" t="str">
        <f>"OFICIAL DE PRODUCAO INDUSTRIAL"</f>
        <v>OFICIAL DE PRODUCAO INDUSTRIAL</v>
      </c>
      <c r="D1065" s="5">
        <v>500</v>
      </c>
      <c r="E1065" s="4" t="str">
        <f>"Funcionário"</f>
        <v>Funcionário</v>
      </c>
    </row>
    <row r="1066" spans="1:5">
      <c r="A1066" s="4" t="str">
        <f t="shared" ref="A1066:A1129" si="84">"5"</f>
        <v>5</v>
      </c>
      <c r="B1066" s="4" t="str">
        <f>"CLELIA CRISTINA DE FARIA SILVA"</f>
        <v>CLELIA CRISTINA DE FARIA SILVA</v>
      </c>
      <c r="C1066" s="4" t="str">
        <f>"OFICIAL DE PRODUCAO INDUSTRIAL"</f>
        <v>OFICIAL DE PRODUCAO INDUSTRIAL</v>
      </c>
      <c r="D1066" s="5">
        <v>500</v>
      </c>
      <c r="E1066" s="4" t="str">
        <f>"Funcionário"</f>
        <v>Funcionário</v>
      </c>
    </row>
    <row r="1067" spans="1:5">
      <c r="A1067" s="4" t="str">
        <f t="shared" si="84"/>
        <v>5</v>
      </c>
      <c r="B1067" s="4" t="str">
        <f>"CLODOALDO RIBEIRO DE CARVALHO"</f>
        <v>CLODOALDO RIBEIRO DE CARVALHO</v>
      </c>
      <c r="C1067" s="4" t="str">
        <f>"AGENTE DE APOIO OPERACIONAL"</f>
        <v>AGENTE DE APOIO OPERACIONAL</v>
      </c>
      <c r="D1067" s="5">
        <v>500</v>
      </c>
      <c r="E1067" s="4" t="str">
        <f>"Funcionário"</f>
        <v>Funcionário</v>
      </c>
    </row>
    <row r="1068" spans="1:5">
      <c r="A1068" s="4" t="str">
        <f t="shared" si="84"/>
        <v>5</v>
      </c>
      <c r="B1068" s="4" t="str">
        <f>"CRISTIANO APARECIDO SIMÕES DE TOLEDO"</f>
        <v>CRISTIANO APARECIDO SIMÕES DE TOLEDO</v>
      </c>
      <c r="C1068" s="4" t="str">
        <f>"AGENTE DE APOIO OPERACIONAL"</f>
        <v>AGENTE DE APOIO OPERACIONAL</v>
      </c>
      <c r="D1068" s="5">
        <v>500</v>
      </c>
      <c r="E1068" s="4" t="str">
        <f>"Funcionário"</f>
        <v>Funcionário</v>
      </c>
    </row>
    <row r="1069" spans="1:5">
      <c r="A1069" s="4" t="str">
        <f t="shared" si="84"/>
        <v>5</v>
      </c>
      <c r="B1069" s="4" t="str">
        <f>"CRISTIANO RENATO DE OLIVEIRA"</f>
        <v>CRISTIANO RENATO DE OLIVEIRA</v>
      </c>
      <c r="C1069" s="4" t="str">
        <f>"OFICIAL DE PRODUCAO INDUSTRIAL"</f>
        <v>OFICIAL DE PRODUCAO INDUSTRIAL</v>
      </c>
      <c r="D1069" s="5">
        <v>500</v>
      </c>
      <c r="E1069" s="4" t="str">
        <f>"Aposentado"</f>
        <v>Aposentado</v>
      </c>
    </row>
    <row r="1070" spans="1:5">
      <c r="A1070" s="4" t="str">
        <f t="shared" si="84"/>
        <v>5</v>
      </c>
      <c r="B1070" s="4" t="str">
        <f>"CYNTHIA CELIA GUIMARAES"</f>
        <v>CYNTHIA CELIA GUIMARAES</v>
      </c>
      <c r="C1070" s="4" t="str">
        <f>"OFICIAL DE PRODUCAO INDUSTRIAL"</f>
        <v>OFICIAL DE PRODUCAO INDUSTRIAL</v>
      </c>
      <c r="D1070" s="5">
        <v>500</v>
      </c>
      <c r="E1070" s="4" t="str">
        <f>"Funcionário"</f>
        <v>Funcionário</v>
      </c>
    </row>
    <row r="1071" spans="1:5">
      <c r="A1071" s="4" t="str">
        <f t="shared" si="84"/>
        <v>5</v>
      </c>
      <c r="B1071" s="4" t="str">
        <f>"DAIANE APARECIDA JENIFFER DA SILVA ROSA"</f>
        <v>DAIANE APARECIDA JENIFFER DA SILVA ROSA</v>
      </c>
      <c r="C1071" s="4" t="str">
        <f>"OF FERRAMENTARIA INDUSTRIAL"</f>
        <v>OF FERRAMENTARIA INDUSTRIAL</v>
      </c>
      <c r="D1071" s="5">
        <v>500</v>
      </c>
      <c r="E1071" s="4" t="str">
        <f>"Funcionário"</f>
        <v>Funcionário</v>
      </c>
    </row>
    <row r="1072" spans="1:5">
      <c r="A1072" s="4" t="str">
        <f t="shared" si="84"/>
        <v>5</v>
      </c>
      <c r="B1072" s="4" t="str">
        <f>"DANIEL RODRIGUES PEREIRA"</f>
        <v>DANIEL RODRIGUES PEREIRA</v>
      </c>
      <c r="C1072" s="4" t="str">
        <f>"APRENDIZ- PRODUÇÃO"</f>
        <v>APRENDIZ- PRODUÇÃO</v>
      </c>
      <c r="D1072" s="5">
        <v>503</v>
      </c>
      <c r="E1072" s="4" t="str">
        <f>"Aprendiz"</f>
        <v>Aprendiz</v>
      </c>
    </row>
    <row r="1073" spans="1:5">
      <c r="A1073" s="4" t="str">
        <f t="shared" si="84"/>
        <v>5</v>
      </c>
      <c r="B1073" s="4" t="str">
        <f>"DANIELA CARVALHO RIBEIRO"</f>
        <v>DANIELA CARVALHO RIBEIRO</v>
      </c>
      <c r="C1073" s="4" t="str">
        <f>"OFICIAL DE PRODUCAO INDUSTRIAL"</f>
        <v>OFICIAL DE PRODUCAO INDUSTRIAL</v>
      </c>
      <c r="D1073" s="5">
        <v>500</v>
      </c>
      <c r="E1073" s="4" t="str">
        <f t="shared" ref="E1073:E1078" si="85">"Funcionário"</f>
        <v>Funcionário</v>
      </c>
    </row>
    <row r="1074" spans="1:5">
      <c r="A1074" s="4" t="str">
        <f t="shared" si="84"/>
        <v>5</v>
      </c>
      <c r="B1074" s="4" t="str">
        <f>"DANIELA CRISTINA DA SILVA SANTOS"</f>
        <v>DANIELA CRISTINA DA SILVA SANTOS</v>
      </c>
      <c r="C1074" s="4" t="str">
        <f>"OFICIAL DE PRODUCAO INDUSTRIAL"</f>
        <v>OFICIAL DE PRODUCAO INDUSTRIAL</v>
      </c>
      <c r="D1074" s="5">
        <v>500</v>
      </c>
      <c r="E1074" s="4" t="str">
        <f t="shared" si="85"/>
        <v>Funcionário</v>
      </c>
    </row>
    <row r="1075" spans="1:5">
      <c r="A1075" s="4" t="str">
        <f t="shared" si="84"/>
        <v>5</v>
      </c>
      <c r="B1075" s="4" t="str">
        <f>"DANIELA JULIANA RIBEIRO DA SILVA"</f>
        <v>DANIELA JULIANA RIBEIRO DA SILVA</v>
      </c>
      <c r="C1075" s="4" t="str">
        <f>"OFICIAL DE PRODUCAO INDUSTRIAL"</f>
        <v>OFICIAL DE PRODUCAO INDUSTRIAL</v>
      </c>
      <c r="D1075" s="5">
        <v>500</v>
      </c>
      <c r="E1075" s="4" t="str">
        <f t="shared" si="85"/>
        <v>Funcionário</v>
      </c>
    </row>
    <row r="1076" spans="1:5">
      <c r="A1076" s="4" t="str">
        <f t="shared" si="84"/>
        <v>5</v>
      </c>
      <c r="B1076" s="4" t="str">
        <f>"DANIELA PAULA DOS SANTOS"</f>
        <v>DANIELA PAULA DOS SANTOS</v>
      </c>
      <c r="C1076" s="4" t="str">
        <f>"OFICIAL DE PRODUCAO INDUSTRIAL"</f>
        <v>OFICIAL DE PRODUCAO INDUSTRIAL</v>
      </c>
      <c r="D1076" s="5">
        <v>500</v>
      </c>
      <c r="E1076" s="4" t="str">
        <f t="shared" si="85"/>
        <v>Funcionário</v>
      </c>
    </row>
    <row r="1077" spans="1:5">
      <c r="A1077" s="4" t="str">
        <f t="shared" si="84"/>
        <v>5</v>
      </c>
      <c r="B1077" s="4" t="str">
        <f>"DANIELI ODETE DOS SANTOS BERALDO"</f>
        <v>DANIELI ODETE DOS SANTOS BERALDO</v>
      </c>
      <c r="C1077" s="4" t="str">
        <f>"AUX TECNICO ADMINISTRATIVO"</f>
        <v>AUX TECNICO ADMINISTRATIVO</v>
      </c>
      <c r="D1077" s="5">
        <v>500</v>
      </c>
      <c r="E1077" s="4" t="str">
        <f t="shared" si="85"/>
        <v>Funcionário</v>
      </c>
    </row>
    <row r="1078" spans="1:5">
      <c r="A1078" s="4" t="str">
        <f t="shared" si="84"/>
        <v>5</v>
      </c>
      <c r="B1078" s="4" t="str">
        <f>"DANIELLE SOARES CARDOSO"</f>
        <v>DANIELLE SOARES CARDOSO</v>
      </c>
      <c r="C1078" s="4" t="str">
        <f>"TECNICO ENFERMAGEM DO TRABALHO"</f>
        <v>TECNICO ENFERMAGEM DO TRABALHO</v>
      </c>
      <c r="D1078" s="5">
        <v>500</v>
      </c>
      <c r="E1078" s="4" t="str">
        <f t="shared" si="85"/>
        <v>Funcionário</v>
      </c>
    </row>
    <row r="1079" spans="1:5">
      <c r="A1079" s="4" t="str">
        <f t="shared" si="84"/>
        <v>5</v>
      </c>
      <c r="B1079" s="4" t="str">
        <f>"DARCY RODRIGUES DA SILVA"</f>
        <v>DARCY RODRIGUES DA SILVA</v>
      </c>
      <c r="C1079" s="4" t="str">
        <f>"OFICIAL DE PRODUCAO INDUSTRIAL"</f>
        <v>OFICIAL DE PRODUCAO INDUSTRIAL</v>
      </c>
      <c r="D1079" s="5">
        <v>500</v>
      </c>
      <c r="E1079" s="4" t="str">
        <f>"Aposentado"</f>
        <v>Aposentado</v>
      </c>
    </row>
    <row r="1080" spans="1:5">
      <c r="A1080" s="4" t="str">
        <f t="shared" si="84"/>
        <v>5</v>
      </c>
      <c r="B1080" s="4" t="str">
        <f>"DAVI VELOSO RIBEIRO"</f>
        <v>DAVI VELOSO RIBEIRO</v>
      </c>
      <c r="C1080" s="4" t="str">
        <f>"TEC INDUSTRIAL ESPECIALIZADO"</f>
        <v>TEC INDUSTRIAL ESPECIALIZADO</v>
      </c>
      <c r="D1080" s="5">
        <v>500</v>
      </c>
      <c r="E1080" s="4" t="str">
        <f>"Funcionário"</f>
        <v>Funcionário</v>
      </c>
    </row>
    <row r="1081" spans="1:5">
      <c r="A1081" s="4" t="str">
        <f t="shared" si="84"/>
        <v>5</v>
      </c>
      <c r="B1081" s="4" t="str">
        <f>"DEISE RISOLETA MOTA DA COSTA"</f>
        <v>DEISE RISOLETA MOTA DA COSTA</v>
      </c>
      <c r="C1081" s="4" t="str">
        <f>"TECNICO ADM ESPECIALIZADO"</f>
        <v>TECNICO ADM ESPECIALIZADO</v>
      </c>
      <c r="D1081" s="5">
        <v>500</v>
      </c>
      <c r="E1081" s="4" t="str">
        <f>"Funcionário"</f>
        <v>Funcionário</v>
      </c>
    </row>
    <row r="1082" spans="1:5">
      <c r="A1082" s="4" t="str">
        <f t="shared" si="84"/>
        <v>5</v>
      </c>
      <c r="B1082" s="4" t="str">
        <f>"DENILSON GONCALVES TORRES"</f>
        <v>DENILSON GONCALVES TORRES</v>
      </c>
      <c r="C1082" s="4" t="str">
        <f>"OFICIAL DE PRODUCAO INDUSTRIAL"</f>
        <v>OFICIAL DE PRODUCAO INDUSTRIAL</v>
      </c>
      <c r="D1082" s="5">
        <v>500</v>
      </c>
      <c r="E1082" s="4" t="str">
        <f>"Aposentado"</f>
        <v>Aposentado</v>
      </c>
    </row>
    <row r="1083" spans="1:5">
      <c r="A1083" s="4" t="str">
        <f t="shared" si="84"/>
        <v>5</v>
      </c>
      <c r="B1083" s="4" t="str">
        <f>"DENIS RAFAEL RIBEIRO"</f>
        <v>DENIS RAFAEL RIBEIRO</v>
      </c>
      <c r="C1083" s="4" t="str">
        <f>"OFICIAL DE PRODUCAO INDUSTRIAL"</f>
        <v>OFICIAL DE PRODUCAO INDUSTRIAL</v>
      </c>
      <c r="D1083" s="5">
        <v>500</v>
      </c>
      <c r="E1083" s="4" t="str">
        <f>"Funcionário"</f>
        <v>Funcionário</v>
      </c>
    </row>
    <row r="1084" spans="1:5">
      <c r="A1084" s="4" t="str">
        <f t="shared" si="84"/>
        <v>5</v>
      </c>
      <c r="B1084" s="4" t="str">
        <f>"DENISE CARVALHO COUTO DALMEIDA"</f>
        <v>DENISE CARVALHO COUTO DALMEIDA</v>
      </c>
      <c r="C1084" s="4" t="str">
        <f>"TECNICO ADM ESPECIALIZADO"</f>
        <v>TECNICO ADM ESPECIALIZADO</v>
      </c>
      <c r="D1084" s="5">
        <v>500</v>
      </c>
      <c r="E1084" s="4" t="str">
        <f>"Aposentado"</f>
        <v>Aposentado</v>
      </c>
    </row>
    <row r="1085" spans="1:5">
      <c r="A1085" s="4" t="str">
        <f t="shared" si="84"/>
        <v>5</v>
      </c>
      <c r="B1085" s="4" t="str">
        <f>"DENIVALDO CLEBERSON FARIA"</f>
        <v>DENIVALDO CLEBERSON FARIA</v>
      </c>
      <c r="C1085" s="4" t="str">
        <f>"OFICIAL DE PRODUCAO INDUSTRIAL"</f>
        <v>OFICIAL DE PRODUCAO INDUSTRIAL</v>
      </c>
      <c r="D1085" s="5">
        <v>500</v>
      </c>
      <c r="E1085" s="4" t="str">
        <f>"Funcionário"</f>
        <v>Funcionário</v>
      </c>
    </row>
    <row r="1086" spans="1:5">
      <c r="A1086" s="4" t="str">
        <f t="shared" si="84"/>
        <v>5</v>
      </c>
      <c r="B1086" s="4" t="str">
        <f>"DEOLALTI MENDES DE SOUZA"</f>
        <v>DEOLALTI MENDES DE SOUZA</v>
      </c>
      <c r="C1086" s="4" t="str">
        <f>"AUX TECNICO ADMINISTRATIVO"</f>
        <v>AUX TECNICO ADMINISTRATIVO</v>
      </c>
      <c r="D1086" s="5">
        <v>500</v>
      </c>
      <c r="E1086" s="4" t="str">
        <f>"Funcionário"</f>
        <v>Funcionário</v>
      </c>
    </row>
    <row r="1087" spans="1:5">
      <c r="A1087" s="4" t="str">
        <f t="shared" si="84"/>
        <v>5</v>
      </c>
      <c r="B1087" s="4" t="str">
        <f>"DIONEA APARECIDA LEONEL"</f>
        <v>DIONEA APARECIDA LEONEL</v>
      </c>
      <c r="C1087" s="4" t="str">
        <f>"TECNICO ADM ESPECIALIZADO"</f>
        <v>TECNICO ADM ESPECIALIZADO</v>
      </c>
      <c r="D1087" s="5">
        <v>500</v>
      </c>
      <c r="E1087" s="4" t="str">
        <f>"Funcionário"</f>
        <v>Funcionário</v>
      </c>
    </row>
    <row r="1088" spans="1:5">
      <c r="A1088" s="4" t="str">
        <f t="shared" si="84"/>
        <v>5</v>
      </c>
      <c r="B1088" s="4" t="str">
        <f>"DIRCE MARIA CARVALHO BERNARDO GUIMARAES"</f>
        <v>DIRCE MARIA CARVALHO BERNARDO GUIMARAES</v>
      </c>
      <c r="C1088" s="4" t="str">
        <f>"OFICIAL DE PRODUCAO INDUSTRIAL"</f>
        <v>OFICIAL DE PRODUCAO INDUSTRIAL</v>
      </c>
      <c r="D1088" s="5">
        <v>500</v>
      </c>
      <c r="E1088" s="4" t="str">
        <f>"Funcionário"</f>
        <v>Funcionário</v>
      </c>
    </row>
    <row r="1089" spans="1:5">
      <c r="A1089" s="4" t="str">
        <f t="shared" si="84"/>
        <v>5</v>
      </c>
      <c r="B1089" s="4" t="str">
        <f>"DONIZETE CARLOS"</f>
        <v>DONIZETE CARLOS</v>
      </c>
      <c r="C1089" s="4" t="str">
        <f>"OFICIAL DE PRODUCAO INDUSTRIAL"</f>
        <v>OFICIAL DE PRODUCAO INDUSTRIAL</v>
      </c>
      <c r="D1089" s="5">
        <v>500</v>
      </c>
      <c r="E1089" s="4" t="str">
        <f>"Aposentado"</f>
        <v>Aposentado</v>
      </c>
    </row>
    <row r="1090" spans="1:5">
      <c r="A1090" s="4" t="str">
        <f t="shared" si="84"/>
        <v>5</v>
      </c>
      <c r="B1090" s="4" t="str">
        <f>"DOUGLAS ALVES BORGES"</f>
        <v>DOUGLAS ALVES BORGES</v>
      </c>
      <c r="C1090" s="4" t="str">
        <f>"TECNICO ADM ESPECIALIZADO"</f>
        <v>TECNICO ADM ESPECIALIZADO</v>
      </c>
      <c r="D1090" s="5">
        <v>500</v>
      </c>
      <c r="E1090" s="4" t="str">
        <f t="shared" ref="E1090:E1096" si="86">"Funcionário"</f>
        <v>Funcionário</v>
      </c>
    </row>
    <row r="1091" spans="1:5">
      <c r="A1091" s="4" t="str">
        <f t="shared" si="84"/>
        <v>5</v>
      </c>
      <c r="B1091" s="4" t="str">
        <f>"EDILENE FARIA PERES PEREIRA"</f>
        <v>EDILENE FARIA PERES PEREIRA</v>
      </c>
      <c r="C1091" s="4" t="str">
        <f>"OFICIAL DE PRODUCAO INDUSTRIAL"</f>
        <v>OFICIAL DE PRODUCAO INDUSTRIAL</v>
      </c>
      <c r="D1091" s="5">
        <v>500</v>
      </c>
      <c r="E1091" s="4" t="str">
        <f t="shared" si="86"/>
        <v>Funcionário</v>
      </c>
    </row>
    <row r="1092" spans="1:5">
      <c r="A1092" s="4" t="str">
        <f t="shared" si="84"/>
        <v>5</v>
      </c>
      <c r="B1092" s="4" t="str">
        <f>"EDIMARA FATIMA BITENCOURT"</f>
        <v>EDIMARA FATIMA BITENCOURT</v>
      </c>
      <c r="C1092" s="4" t="str">
        <f>"AGENTE DE APOIO OPERACIONAL"</f>
        <v>AGENTE DE APOIO OPERACIONAL</v>
      </c>
      <c r="D1092" s="5">
        <v>500</v>
      </c>
      <c r="E1092" s="4" t="str">
        <f t="shared" si="86"/>
        <v>Funcionário</v>
      </c>
    </row>
    <row r="1093" spans="1:5">
      <c r="A1093" s="4" t="str">
        <f t="shared" si="84"/>
        <v>5</v>
      </c>
      <c r="B1093" s="4" t="str">
        <f>"EDINA REGINA BATISTA"</f>
        <v>EDINA REGINA BATISTA</v>
      </c>
      <c r="C1093" s="4" t="str">
        <f>"OFICIAL DE PRODUCAO INDUSTRIAL"</f>
        <v>OFICIAL DE PRODUCAO INDUSTRIAL</v>
      </c>
      <c r="D1093" s="5">
        <v>500</v>
      </c>
      <c r="E1093" s="4" t="str">
        <f t="shared" si="86"/>
        <v>Funcionário</v>
      </c>
    </row>
    <row r="1094" spans="1:5">
      <c r="A1094" s="4" t="str">
        <f t="shared" si="84"/>
        <v>5</v>
      </c>
      <c r="B1094" s="4" t="str">
        <f>"EDINALVA APARECIDA BITENCOURT FREIRE"</f>
        <v>EDINALVA APARECIDA BITENCOURT FREIRE</v>
      </c>
      <c r="C1094" s="4" t="str">
        <f>"AGENTE DE APOIO OPERACIONAL"</f>
        <v>AGENTE DE APOIO OPERACIONAL</v>
      </c>
      <c r="D1094" s="5">
        <v>500</v>
      </c>
      <c r="E1094" s="4" t="str">
        <f t="shared" si="86"/>
        <v>Funcionário</v>
      </c>
    </row>
    <row r="1095" spans="1:5">
      <c r="A1095" s="4" t="str">
        <f t="shared" si="84"/>
        <v>5</v>
      </c>
      <c r="B1095" s="4" t="str">
        <f>"EDMAR VINICIUS VIEIRA DA COSTA"</f>
        <v>EDMAR VINICIUS VIEIRA DA COSTA</v>
      </c>
      <c r="C1095" s="4" t="str">
        <f>"TECNICO INDUSTRIAL ESPECIALIZADO"</f>
        <v>TECNICO INDUSTRIAL ESPECIALIZADO</v>
      </c>
      <c r="D1095" s="5">
        <v>500</v>
      </c>
      <c r="E1095" s="4" t="str">
        <f t="shared" si="86"/>
        <v>Funcionário</v>
      </c>
    </row>
    <row r="1096" spans="1:5">
      <c r="A1096" s="4" t="str">
        <f t="shared" si="84"/>
        <v>5</v>
      </c>
      <c r="B1096" s="4" t="str">
        <f>"EDMAURO DA SILVA"</f>
        <v>EDMAURO DA SILVA</v>
      </c>
      <c r="C1096" s="4" t="str">
        <f>"OFICIAL DE PRODUCAO INDUSTRIAL"</f>
        <v>OFICIAL DE PRODUCAO INDUSTRIAL</v>
      </c>
      <c r="D1096" s="5">
        <v>500</v>
      </c>
      <c r="E1096" s="4" t="str">
        <f t="shared" si="86"/>
        <v>Funcionário</v>
      </c>
    </row>
    <row r="1097" spans="1:5">
      <c r="A1097" s="4" t="str">
        <f t="shared" si="84"/>
        <v>5</v>
      </c>
      <c r="B1097" s="4" t="str">
        <f>"EDNA PEREIRA LIMA"</f>
        <v>EDNA PEREIRA LIMA</v>
      </c>
      <c r="C1097" s="4" t="str">
        <f>"AGENTE DE APOIO OPERACIONAL"</f>
        <v>AGENTE DE APOIO OPERACIONAL</v>
      </c>
      <c r="D1097" s="5">
        <v>500</v>
      </c>
      <c r="E1097" s="4" t="str">
        <f>"Aposentado"</f>
        <v>Aposentado</v>
      </c>
    </row>
    <row r="1098" spans="1:5">
      <c r="A1098" s="4" t="str">
        <f t="shared" si="84"/>
        <v>5</v>
      </c>
      <c r="B1098" s="4" t="str">
        <f>"EDSON CARLOS RODRIGUES"</f>
        <v>EDSON CARLOS RODRIGUES</v>
      </c>
      <c r="C1098" s="4" t="str">
        <f>"TEC INDUSTRIAL ESPECIALIZADO"</f>
        <v>TEC INDUSTRIAL ESPECIALIZADO</v>
      </c>
      <c r="D1098" s="5">
        <v>500</v>
      </c>
      <c r="E1098" s="4" t="str">
        <f>"Funcionário"</f>
        <v>Funcionário</v>
      </c>
    </row>
    <row r="1099" spans="1:5">
      <c r="A1099" s="4" t="str">
        <f t="shared" si="84"/>
        <v>5</v>
      </c>
      <c r="B1099" s="4" t="str">
        <f>"EDSON JESUS MOTA"</f>
        <v>EDSON JESUS MOTA</v>
      </c>
      <c r="C1099" s="4" t="str">
        <f>"ASSESSOR CHEFE I"</f>
        <v>ASSESSOR CHEFE I</v>
      </c>
      <c r="D1099" s="5">
        <v>501</v>
      </c>
      <c r="E1099" s="4" t="str">
        <f>"Funcionário"</f>
        <v>Funcionário</v>
      </c>
    </row>
    <row r="1100" spans="1:5">
      <c r="A1100" s="4" t="str">
        <f t="shared" si="84"/>
        <v>5</v>
      </c>
      <c r="B1100" s="4" t="str">
        <f>"EDUARDO DOS SANTOS PEDROSO"</f>
        <v>EDUARDO DOS SANTOS PEDROSO</v>
      </c>
      <c r="C1100" s="4" t="str">
        <f>"AUXILIAR TECNICO INDUSTRIAL"</f>
        <v>AUXILIAR TECNICO INDUSTRIAL</v>
      </c>
      <c r="D1100" s="5">
        <v>500</v>
      </c>
      <c r="E1100" s="4" t="str">
        <f>"Aposentado"</f>
        <v>Aposentado</v>
      </c>
    </row>
    <row r="1101" spans="1:5">
      <c r="A1101" s="4" t="str">
        <f t="shared" si="84"/>
        <v>5</v>
      </c>
      <c r="B1101" s="4" t="str">
        <f>"EDUARDO HOISLER SALLET"</f>
        <v>EDUARDO HOISLER SALLET</v>
      </c>
      <c r="C1101" s="4" t="str">
        <f>"MILITAR DA ATIVA"</f>
        <v>MILITAR DA ATIVA</v>
      </c>
      <c r="D1101" s="5">
        <v>505</v>
      </c>
      <c r="E1101" s="4" t="str">
        <f>"Funcionário"</f>
        <v>Funcionário</v>
      </c>
    </row>
    <row r="1102" spans="1:5">
      <c r="A1102" s="4" t="str">
        <f t="shared" si="84"/>
        <v>5</v>
      </c>
      <c r="B1102" s="4" t="str">
        <f>"EDUARDO JOSE DE ALMEIDA"</f>
        <v>EDUARDO JOSE DE ALMEIDA</v>
      </c>
      <c r="C1102" s="4" t="str">
        <f>"OF FERRAMENTARIA INDUSTRIAL"</f>
        <v>OF FERRAMENTARIA INDUSTRIAL</v>
      </c>
      <c r="D1102" s="5">
        <v>500</v>
      </c>
      <c r="E1102" s="4" t="str">
        <f>"Aposentado"</f>
        <v>Aposentado</v>
      </c>
    </row>
    <row r="1103" spans="1:5">
      <c r="A1103" s="4" t="str">
        <f t="shared" si="84"/>
        <v>5</v>
      </c>
      <c r="B1103" s="4" t="str">
        <f>"ELAINE APARECIDA MUNIZ"</f>
        <v>ELAINE APARECIDA MUNIZ</v>
      </c>
      <c r="C1103" s="4" t="str">
        <f>"TECNICO ADM ESPECIALIZADO"</f>
        <v>TECNICO ADM ESPECIALIZADO</v>
      </c>
      <c r="D1103" s="5">
        <v>500</v>
      </c>
      <c r="E1103" s="4" t="str">
        <f t="shared" ref="E1103:E1109" si="87">"Funcionário"</f>
        <v>Funcionário</v>
      </c>
    </row>
    <row r="1104" spans="1:5">
      <c r="A1104" s="4" t="str">
        <f t="shared" si="84"/>
        <v>5</v>
      </c>
      <c r="B1104" s="4" t="str">
        <f>"ELAINE CRISTINA BERNARDO GUIMARAES"</f>
        <v>ELAINE CRISTINA BERNARDO GUIMARAES</v>
      </c>
      <c r="C1104" s="4" t="str">
        <f>"OFICIAL DE PRODUCAO INDUSTRIAL"</f>
        <v>OFICIAL DE PRODUCAO INDUSTRIAL</v>
      </c>
      <c r="D1104" s="5">
        <v>500</v>
      </c>
      <c r="E1104" s="4" t="str">
        <f t="shared" si="87"/>
        <v>Funcionário</v>
      </c>
    </row>
    <row r="1105" spans="1:5">
      <c r="A1105" s="4" t="str">
        <f t="shared" si="84"/>
        <v>5</v>
      </c>
      <c r="B1105" s="4" t="str">
        <f>"ELAINE CRISTINA DE CASTILHO"</f>
        <v>ELAINE CRISTINA DE CASTILHO</v>
      </c>
      <c r="C1105" s="4" t="str">
        <f>"AUX TECNICO ADMINISTRATIVO"</f>
        <v>AUX TECNICO ADMINISTRATIVO</v>
      </c>
      <c r="D1105" s="5">
        <v>500</v>
      </c>
      <c r="E1105" s="4" t="str">
        <f t="shared" si="87"/>
        <v>Funcionário</v>
      </c>
    </row>
    <row r="1106" spans="1:5">
      <c r="A1106" s="4" t="str">
        <f t="shared" si="84"/>
        <v>5</v>
      </c>
      <c r="B1106" s="4" t="str">
        <f>"ELAINE CRISTINA NICOLAU"</f>
        <v>ELAINE CRISTINA NICOLAU</v>
      </c>
      <c r="C1106" s="4" t="str">
        <f>"OFICIAL DE PRODUCAO INDUSTRIAL"</f>
        <v>OFICIAL DE PRODUCAO INDUSTRIAL</v>
      </c>
      <c r="D1106" s="5">
        <v>500</v>
      </c>
      <c r="E1106" s="4" t="str">
        <f t="shared" si="87"/>
        <v>Funcionário</v>
      </c>
    </row>
    <row r="1107" spans="1:5">
      <c r="A1107" s="4" t="str">
        <f t="shared" si="84"/>
        <v>5</v>
      </c>
      <c r="B1107" s="4" t="str">
        <f>"ELELSON APARECIDO DE CARVALHO"</f>
        <v>ELELSON APARECIDO DE CARVALHO</v>
      </c>
      <c r="C1107" s="4" t="str">
        <f>"OFICIAL DE PRODUCAO INDUSTRIAL"</f>
        <v>OFICIAL DE PRODUCAO INDUSTRIAL</v>
      </c>
      <c r="D1107" s="5">
        <v>500</v>
      </c>
      <c r="E1107" s="4" t="str">
        <f t="shared" si="87"/>
        <v>Funcionário</v>
      </c>
    </row>
    <row r="1108" spans="1:5">
      <c r="A1108" s="4" t="str">
        <f t="shared" si="84"/>
        <v>5</v>
      </c>
      <c r="B1108" s="4" t="str">
        <f>"ELIANA RODRIGUES RAMOS"</f>
        <v>ELIANA RODRIGUES RAMOS</v>
      </c>
      <c r="C1108" s="4" t="str">
        <f>"AUX TECNICO ADMINISTRATIVO"</f>
        <v>AUX TECNICO ADMINISTRATIVO</v>
      </c>
      <c r="D1108" s="5">
        <v>500</v>
      </c>
      <c r="E1108" s="4" t="str">
        <f t="shared" si="87"/>
        <v>Funcionário</v>
      </c>
    </row>
    <row r="1109" spans="1:5">
      <c r="A1109" s="4" t="str">
        <f t="shared" si="84"/>
        <v>5</v>
      </c>
      <c r="B1109" s="4" t="str">
        <f>"ELIANAY DE BETANIA PIO"</f>
        <v>ELIANAY DE BETANIA PIO</v>
      </c>
      <c r="C1109" s="4" t="str">
        <f>"AGENTE DE APOIO OPERACIONAL"</f>
        <v>AGENTE DE APOIO OPERACIONAL</v>
      </c>
      <c r="D1109" s="5">
        <v>500</v>
      </c>
      <c r="E1109" s="4" t="str">
        <f t="shared" si="87"/>
        <v>Funcionário</v>
      </c>
    </row>
    <row r="1110" spans="1:5">
      <c r="A1110" s="4" t="str">
        <f t="shared" si="84"/>
        <v>5</v>
      </c>
      <c r="B1110" s="4" t="str">
        <f>"ELIANO FERNANDES RIBEIRO"</f>
        <v>ELIANO FERNANDES RIBEIRO</v>
      </c>
      <c r="C1110" s="4" t="str">
        <f>"OFICIAL DE PRODUCAO INDUSTRIAL"</f>
        <v>OFICIAL DE PRODUCAO INDUSTRIAL</v>
      </c>
      <c r="D1110" s="5">
        <v>500</v>
      </c>
      <c r="E1110" s="4" t="str">
        <f>"Aposentado"</f>
        <v>Aposentado</v>
      </c>
    </row>
    <row r="1111" spans="1:5">
      <c r="A1111" s="4" t="str">
        <f t="shared" si="84"/>
        <v>5</v>
      </c>
      <c r="B1111" s="4" t="str">
        <f>"ELIAS FARIA"</f>
        <v>ELIAS FARIA</v>
      </c>
      <c r="C1111" s="4" t="str">
        <f>"OF FERRAMENTARIA INDUSTRIAL"</f>
        <v>OF FERRAMENTARIA INDUSTRIAL</v>
      </c>
      <c r="D1111" s="5">
        <v>500</v>
      </c>
      <c r="E1111" s="4" t="str">
        <f>"Aposentado"</f>
        <v>Aposentado</v>
      </c>
    </row>
    <row r="1112" spans="1:5">
      <c r="A1112" s="4" t="str">
        <f t="shared" si="84"/>
        <v>5</v>
      </c>
      <c r="B1112" s="4" t="str">
        <f>"ELIAS INACIO DA CUNHA"</f>
        <v>ELIAS INACIO DA CUNHA</v>
      </c>
      <c r="C1112" s="4" t="str">
        <f>"OF FERRAMENTARIA INDUSTRIAL"</f>
        <v>OF FERRAMENTARIA INDUSTRIAL</v>
      </c>
      <c r="D1112" s="5">
        <v>500</v>
      </c>
      <c r="E1112" s="4" t="str">
        <f>"Aposentado"</f>
        <v>Aposentado</v>
      </c>
    </row>
    <row r="1113" spans="1:5">
      <c r="A1113" s="4" t="str">
        <f t="shared" si="84"/>
        <v>5</v>
      </c>
      <c r="B1113" s="4" t="str">
        <f>"ELISANGELA CRISTINA DOS SANTOS"</f>
        <v>ELISANGELA CRISTINA DOS SANTOS</v>
      </c>
      <c r="C1113" s="4" t="str">
        <f>"TECNICO SEGURANÇA DO TRABALHO"</f>
        <v>TECNICO SEGURANÇA DO TRABALHO</v>
      </c>
      <c r="D1113" s="5">
        <v>500</v>
      </c>
      <c r="E1113" s="4" t="str">
        <f>"Funcionário"</f>
        <v>Funcionário</v>
      </c>
    </row>
    <row r="1114" spans="1:5">
      <c r="A1114" s="4" t="str">
        <f t="shared" si="84"/>
        <v>5</v>
      </c>
      <c r="B1114" s="4" t="str">
        <f>"ELIZA DE SOUZA"</f>
        <v>ELIZA DE SOUZA</v>
      </c>
      <c r="C1114" s="4" t="str">
        <f>"TEC INDUSTRIAL ESPECIALIZADO"</f>
        <v>TEC INDUSTRIAL ESPECIALIZADO</v>
      </c>
      <c r="D1114" s="5">
        <v>500</v>
      </c>
      <c r="E1114" s="4" t="str">
        <f>"Aposentado"</f>
        <v>Aposentado</v>
      </c>
    </row>
    <row r="1115" spans="1:5">
      <c r="A1115" s="4" t="str">
        <f t="shared" si="84"/>
        <v>5</v>
      </c>
      <c r="B1115" s="4" t="str">
        <f>"EMERSON KELLI PEREIRA"</f>
        <v>EMERSON KELLI PEREIRA</v>
      </c>
      <c r="C1115" s="4" t="str">
        <f>"OFICIAL DE PRODUCAO INDUSTRIAL"</f>
        <v>OFICIAL DE PRODUCAO INDUSTRIAL</v>
      </c>
      <c r="D1115" s="5">
        <v>500</v>
      </c>
      <c r="E1115" s="4" t="str">
        <f t="shared" ref="E1115:E1122" si="88">"Funcionário"</f>
        <v>Funcionário</v>
      </c>
    </row>
    <row r="1116" spans="1:5">
      <c r="A1116" s="4" t="str">
        <f t="shared" si="84"/>
        <v>5</v>
      </c>
      <c r="B1116" s="4" t="str">
        <f>"EMILI NAYARA MATIAS CARVALHO DE PAULA"</f>
        <v>EMILI NAYARA MATIAS CARVALHO DE PAULA</v>
      </c>
      <c r="C1116" s="4" t="str">
        <f>"TECNICO ADM ESPECIALIZADO"</f>
        <v>TECNICO ADM ESPECIALIZADO</v>
      </c>
      <c r="D1116" s="5">
        <v>500</v>
      </c>
      <c r="E1116" s="4" t="str">
        <f t="shared" si="88"/>
        <v>Funcionário</v>
      </c>
    </row>
    <row r="1117" spans="1:5">
      <c r="A1117" s="4" t="str">
        <f t="shared" si="84"/>
        <v>5</v>
      </c>
      <c r="B1117" s="4" t="str">
        <f>"ERICK SAYMON DE MENDONÇA GALDINO"</f>
        <v>ERICK SAYMON DE MENDONÇA GALDINO</v>
      </c>
      <c r="C1117" s="4" t="str">
        <f>"ESPECIALISTA"</f>
        <v>ESPECIALISTA</v>
      </c>
      <c r="D1117" s="5">
        <v>500</v>
      </c>
      <c r="E1117" s="4" t="str">
        <f t="shared" si="88"/>
        <v>Funcionário</v>
      </c>
    </row>
    <row r="1118" spans="1:5">
      <c r="A1118" s="4" t="str">
        <f t="shared" si="84"/>
        <v>5</v>
      </c>
      <c r="B1118" s="4" t="str">
        <f>"ERIK SANDER PINTO"</f>
        <v>ERIK SANDER PINTO</v>
      </c>
      <c r="C1118" s="4" t="str">
        <f>"OFICIAL DE PRODUCAO INDUSTRIAL"</f>
        <v>OFICIAL DE PRODUCAO INDUSTRIAL</v>
      </c>
      <c r="D1118" s="5">
        <v>500</v>
      </c>
      <c r="E1118" s="4" t="str">
        <f t="shared" si="88"/>
        <v>Funcionário</v>
      </c>
    </row>
    <row r="1119" spans="1:5">
      <c r="A1119" s="4" t="str">
        <f t="shared" si="84"/>
        <v>5</v>
      </c>
      <c r="B1119" s="4" t="str">
        <f>"ESTEFANO VIRGILIO ANTONIO DOS SANTOS"</f>
        <v>ESTEFANO VIRGILIO ANTONIO DOS SANTOS</v>
      </c>
      <c r="C1119" s="4" t="str">
        <f>"TEC INDUSTRIAL ESPECIALIZADO"</f>
        <v>TEC INDUSTRIAL ESPECIALIZADO</v>
      </c>
      <c r="D1119" s="5">
        <v>500</v>
      </c>
      <c r="E1119" s="4" t="str">
        <f t="shared" si="88"/>
        <v>Funcionário</v>
      </c>
    </row>
    <row r="1120" spans="1:5">
      <c r="A1120" s="4" t="str">
        <f t="shared" si="84"/>
        <v>5</v>
      </c>
      <c r="B1120" s="4" t="str">
        <f>"ESTELA MARCIA FARIA RENO"</f>
        <v>ESTELA MARCIA FARIA RENO</v>
      </c>
      <c r="C1120" s="4" t="str">
        <f>"OFICIAL DE PRODUCAO INDUSTRIAL"</f>
        <v>OFICIAL DE PRODUCAO INDUSTRIAL</v>
      </c>
      <c r="D1120" s="5">
        <v>500</v>
      </c>
      <c r="E1120" s="4" t="str">
        <f t="shared" si="88"/>
        <v>Funcionário</v>
      </c>
    </row>
    <row r="1121" spans="1:5">
      <c r="A1121" s="4" t="str">
        <f t="shared" si="84"/>
        <v>5</v>
      </c>
      <c r="B1121" s="4" t="str">
        <f>"EVANDRO GARCIA ALVES"</f>
        <v>EVANDRO GARCIA ALVES</v>
      </c>
      <c r="C1121" s="4" t="str">
        <f>"OF FERRAMENTARIA INDUSTRIAL"</f>
        <v>OF FERRAMENTARIA INDUSTRIAL</v>
      </c>
      <c r="D1121" s="5">
        <v>500</v>
      </c>
      <c r="E1121" s="4" t="str">
        <f t="shared" si="88"/>
        <v>Funcionário</v>
      </c>
    </row>
    <row r="1122" spans="1:5">
      <c r="A1122" s="4" t="str">
        <f t="shared" si="84"/>
        <v>5</v>
      </c>
      <c r="B1122" s="4" t="str">
        <f>"EVELIN DE FATIMA RIBEIRO"</f>
        <v>EVELIN DE FATIMA RIBEIRO</v>
      </c>
      <c r="C1122" s="4" t="str">
        <f>"TECNICO ADM ESPECIALIZADO"</f>
        <v>TECNICO ADM ESPECIALIZADO</v>
      </c>
      <c r="D1122" s="5">
        <v>500</v>
      </c>
      <c r="E1122" s="4" t="str">
        <f t="shared" si="88"/>
        <v>Funcionário</v>
      </c>
    </row>
    <row r="1123" spans="1:5">
      <c r="A1123" s="4" t="str">
        <f t="shared" si="84"/>
        <v>5</v>
      </c>
      <c r="B1123" s="4" t="str">
        <f>"EVELYN MARIA RIBEIRO CORTEZ"</f>
        <v>EVELYN MARIA RIBEIRO CORTEZ</v>
      </c>
      <c r="C1123" s="4" t="str">
        <f>"APRENDIZ- PRODUÇÃO"</f>
        <v>APRENDIZ- PRODUÇÃO</v>
      </c>
      <c r="D1123" s="5">
        <v>503</v>
      </c>
      <c r="E1123" s="4" t="str">
        <f>"Aprendiz"</f>
        <v>Aprendiz</v>
      </c>
    </row>
    <row r="1124" spans="1:5">
      <c r="A1124" s="4" t="str">
        <f t="shared" si="84"/>
        <v>5</v>
      </c>
      <c r="B1124" s="4" t="str">
        <f>"EVELYN MORAIS SILVÉRIO"</f>
        <v>EVELYN MORAIS SILVÉRIO</v>
      </c>
      <c r="C1124" s="4" t="str">
        <f>"Estagiario"</f>
        <v>Estagiario</v>
      </c>
      <c r="D1124" s="5">
        <v>502</v>
      </c>
      <c r="E1124" s="4" t="str">
        <f>"Estagiário"</f>
        <v>Estagiário</v>
      </c>
    </row>
    <row r="1125" spans="1:5">
      <c r="A1125" s="4" t="str">
        <f t="shared" si="84"/>
        <v>5</v>
      </c>
      <c r="B1125" s="4" t="str">
        <f>"EVILYN CAMILY NUNES CARVALHO"</f>
        <v>EVILYN CAMILY NUNES CARVALHO</v>
      </c>
      <c r="C1125" s="4" t="str">
        <f>"APRENDIZ- PRODUÇÃO"</f>
        <v>APRENDIZ- PRODUÇÃO</v>
      </c>
      <c r="D1125" s="5">
        <v>503</v>
      </c>
      <c r="E1125" s="4" t="str">
        <f>"Aprendiz"</f>
        <v>Aprendiz</v>
      </c>
    </row>
    <row r="1126" spans="1:5">
      <c r="A1126" s="4" t="str">
        <f t="shared" si="84"/>
        <v>5</v>
      </c>
      <c r="B1126" s="4" t="str">
        <f>"EZEQUIEL PINTO RIBEIRO"</f>
        <v>EZEQUIEL PINTO RIBEIRO</v>
      </c>
      <c r="C1126" s="4" t="str">
        <f>"AGENTE DE APOIO OPERACIONAL"</f>
        <v>AGENTE DE APOIO OPERACIONAL</v>
      </c>
      <c r="D1126" s="5">
        <v>500</v>
      </c>
      <c r="E1126" s="4" t="str">
        <f t="shared" ref="E1126:E1131" si="89">"Funcionário"</f>
        <v>Funcionário</v>
      </c>
    </row>
    <row r="1127" spans="1:5">
      <c r="A1127" s="4" t="str">
        <f t="shared" si="84"/>
        <v>5</v>
      </c>
      <c r="B1127" s="4" t="str">
        <f>"FABIANO PAULO MAXIMO"</f>
        <v>FABIANO PAULO MAXIMO</v>
      </c>
      <c r="C1127" s="4" t="str">
        <f>"OFICIAL DE PRODUCAO INDUSTRIAL"</f>
        <v>OFICIAL DE PRODUCAO INDUSTRIAL</v>
      </c>
      <c r="D1127" s="5">
        <v>500</v>
      </c>
      <c r="E1127" s="4" t="str">
        <f t="shared" si="89"/>
        <v>Funcionário</v>
      </c>
    </row>
    <row r="1128" spans="1:5">
      <c r="A1128" s="4" t="str">
        <f t="shared" si="84"/>
        <v>5</v>
      </c>
      <c r="B1128" s="4" t="str">
        <f>"FABIO APARECIDO ROSA"</f>
        <v>FABIO APARECIDO ROSA</v>
      </c>
      <c r="C1128" s="4" t="str">
        <f>"TEC INDUSTRIAL ESPECIALIZADO"</f>
        <v>TEC INDUSTRIAL ESPECIALIZADO</v>
      </c>
      <c r="D1128" s="5">
        <v>500</v>
      </c>
      <c r="E1128" s="4" t="str">
        <f t="shared" si="89"/>
        <v>Funcionário</v>
      </c>
    </row>
    <row r="1129" spans="1:5">
      <c r="A1129" s="4" t="str">
        <f t="shared" si="84"/>
        <v>5</v>
      </c>
      <c r="B1129" s="4" t="str">
        <f>"FABIO DELFINO LOPES"</f>
        <v>FABIO DELFINO LOPES</v>
      </c>
      <c r="C1129" s="4" t="str">
        <f>"OFICIAL DE PRODUCAO INDUSTRIAL"</f>
        <v>OFICIAL DE PRODUCAO INDUSTRIAL</v>
      </c>
      <c r="D1129" s="5">
        <v>500</v>
      </c>
      <c r="E1129" s="4" t="str">
        <f t="shared" si="89"/>
        <v>Funcionário</v>
      </c>
    </row>
    <row r="1130" spans="1:5">
      <c r="A1130" s="4" t="str">
        <f t="shared" ref="A1130:A1193" si="90">"5"</f>
        <v>5</v>
      </c>
      <c r="B1130" s="4" t="str">
        <f>"FABIO HENRIQUE DE SOUSA"</f>
        <v>FABIO HENRIQUE DE SOUSA</v>
      </c>
      <c r="C1130" s="4" t="str">
        <f>"OFICIAL DE PRODUCAO INDUSTRIAL"</f>
        <v>OFICIAL DE PRODUCAO INDUSTRIAL</v>
      </c>
      <c r="D1130" s="5">
        <v>500</v>
      </c>
      <c r="E1130" s="4" t="str">
        <f t="shared" si="89"/>
        <v>Funcionário</v>
      </c>
    </row>
    <row r="1131" spans="1:5">
      <c r="A1131" s="4" t="str">
        <f t="shared" si="90"/>
        <v>5</v>
      </c>
      <c r="B1131" s="4" t="str">
        <f>"FABIO LUIZ BATISTA"</f>
        <v>FABIO LUIZ BATISTA</v>
      </c>
      <c r="C1131" s="4" t="str">
        <f>"OFICIAL DE PRODUCAO INDUSTRIAL"</f>
        <v>OFICIAL DE PRODUCAO INDUSTRIAL</v>
      </c>
      <c r="D1131" s="5">
        <v>500</v>
      </c>
      <c r="E1131" s="4" t="str">
        <f t="shared" si="89"/>
        <v>Funcionário</v>
      </c>
    </row>
    <row r="1132" spans="1:5">
      <c r="A1132" s="4" t="str">
        <f t="shared" si="90"/>
        <v>5</v>
      </c>
      <c r="B1132" s="4" t="str">
        <f>"FATIMA ADELINA BORGES PEREIRA"</f>
        <v>FATIMA ADELINA BORGES PEREIRA</v>
      </c>
      <c r="C1132" s="4" t="str">
        <f>"OFICIAL DE PRODUCAO INDUSTRIAL"</f>
        <v>OFICIAL DE PRODUCAO INDUSTRIAL</v>
      </c>
      <c r="D1132" s="5">
        <v>500</v>
      </c>
      <c r="E1132" s="4" t="str">
        <f>"Aposentado"</f>
        <v>Aposentado</v>
      </c>
    </row>
    <row r="1133" spans="1:5">
      <c r="A1133" s="4" t="str">
        <f t="shared" si="90"/>
        <v>5</v>
      </c>
      <c r="B1133" s="4" t="str">
        <f>"FATIMA REGINA APARECIDA GOMES"</f>
        <v>FATIMA REGINA APARECIDA GOMES</v>
      </c>
      <c r="C1133" s="4" t="str">
        <f>"OFICIAL DE PRODUCAO INDUSTRIAL"</f>
        <v>OFICIAL DE PRODUCAO INDUSTRIAL</v>
      </c>
      <c r="D1133" s="5">
        <v>500</v>
      </c>
      <c r="E1133" s="4" t="str">
        <f>"Aposentado"</f>
        <v>Aposentado</v>
      </c>
    </row>
    <row r="1134" spans="1:5">
      <c r="A1134" s="4" t="str">
        <f t="shared" si="90"/>
        <v>5</v>
      </c>
      <c r="B1134" s="4" t="str">
        <f>"FELIPE COELHO PAES"</f>
        <v>FELIPE COELHO PAES</v>
      </c>
      <c r="C1134" s="4" t="str">
        <f>"TEC INDUSTRIAL ESPECIALIZADO"</f>
        <v>TEC INDUSTRIAL ESPECIALIZADO</v>
      </c>
      <c r="D1134" s="5">
        <v>500</v>
      </c>
      <c r="E1134" s="4" t="str">
        <f>"Funcionário"</f>
        <v>Funcionário</v>
      </c>
    </row>
    <row r="1135" spans="1:5">
      <c r="A1135" s="4" t="str">
        <f t="shared" si="90"/>
        <v>5</v>
      </c>
      <c r="B1135" s="4" t="str">
        <f>"FELIPE DE PAULA PADUA"</f>
        <v>FELIPE DE PAULA PADUA</v>
      </c>
      <c r="C1135" s="4" t="str">
        <f>"TECNICO ADM ESPECIALIZADO"</f>
        <v>TECNICO ADM ESPECIALIZADO</v>
      </c>
      <c r="D1135" s="5">
        <v>500</v>
      </c>
      <c r="E1135" s="4" t="str">
        <f>"Funcionário"</f>
        <v>Funcionário</v>
      </c>
    </row>
    <row r="1136" spans="1:5">
      <c r="A1136" s="4" t="str">
        <f t="shared" si="90"/>
        <v>5</v>
      </c>
      <c r="B1136" s="4" t="str">
        <f>"FERNANDA CRISTINA DA SILVA MAGALHAES"</f>
        <v>FERNANDA CRISTINA DA SILVA MAGALHAES</v>
      </c>
      <c r="C1136" s="4" t="str">
        <f>"OFICIAL DE PRODUCAO INDUSTRIAL"</f>
        <v>OFICIAL DE PRODUCAO INDUSTRIAL</v>
      </c>
      <c r="D1136" s="5">
        <v>500</v>
      </c>
      <c r="E1136" s="4" t="str">
        <f>"Funcionário"</f>
        <v>Funcionário</v>
      </c>
    </row>
    <row r="1137" spans="1:5">
      <c r="A1137" s="4" t="str">
        <f t="shared" si="90"/>
        <v>5</v>
      </c>
      <c r="B1137" s="4" t="str">
        <f>"FERNANDO CRISTINO PEREIRA"</f>
        <v>FERNANDO CRISTINO PEREIRA</v>
      </c>
      <c r="C1137" s="4" t="str">
        <f>"OFICIAL DE PRODUCAO INDUSTRIAL"</f>
        <v>OFICIAL DE PRODUCAO INDUSTRIAL</v>
      </c>
      <c r="D1137" s="5">
        <v>500</v>
      </c>
      <c r="E1137" s="4" t="str">
        <f>"Aposentado"</f>
        <v>Aposentado</v>
      </c>
    </row>
    <row r="1138" spans="1:5">
      <c r="A1138" s="4" t="str">
        <f t="shared" si="90"/>
        <v>5</v>
      </c>
      <c r="B1138" s="4" t="str">
        <f>"FERNANDO MARQUES TORQUATO"</f>
        <v>FERNANDO MARQUES TORQUATO</v>
      </c>
      <c r="C1138" s="4" t="str">
        <f>"TECNICO ADM ESPECIALIZADO"</f>
        <v>TECNICO ADM ESPECIALIZADO</v>
      </c>
      <c r="D1138" s="5">
        <v>500</v>
      </c>
      <c r="E1138" s="4" t="str">
        <f t="shared" ref="E1138:E1144" si="91">"Funcionário"</f>
        <v>Funcionário</v>
      </c>
    </row>
    <row r="1139" spans="1:5">
      <c r="A1139" s="4" t="str">
        <f t="shared" si="90"/>
        <v>5</v>
      </c>
      <c r="B1139" s="4" t="str">
        <f>"FERNANDO SANTOS BRAGA"</f>
        <v>FERNANDO SANTOS BRAGA</v>
      </c>
      <c r="C1139" s="4" t="str">
        <f>"ADVOGADO"</f>
        <v>ADVOGADO</v>
      </c>
      <c r="D1139" s="5">
        <v>504</v>
      </c>
      <c r="E1139" s="4" t="str">
        <f t="shared" si="91"/>
        <v>Funcionário</v>
      </c>
    </row>
    <row r="1140" spans="1:5">
      <c r="A1140" s="4" t="str">
        <f t="shared" si="90"/>
        <v>5</v>
      </c>
      <c r="B1140" s="4" t="str">
        <f>"FILIPE DMENGEON PEDREIRO BALBINO"</f>
        <v>FILIPE DMENGEON PEDREIRO BALBINO</v>
      </c>
      <c r="C1140" s="4" t="str">
        <f>"MILITAR DA ATIVA"</f>
        <v>MILITAR DA ATIVA</v>
      </c>
      <c r="D1140" s="5">
        <v>505</v>
      </c>
      <c r="E1140" s="4" t="str">
        <f t="shared" si="91"/>
        <v>Funcionário</v>
      </c>
    </row>
    <row r="1141" spans="1:5">
      <c r="A1141" s="4" t="str">
        <f t="shared" si="90"/>
        <v>5</v>
      </c>
      <c r="B1141" s="4" t="str">
        <f>"FILIPE FERNANDO DE FARIA"</f>
        <v>FILIPE FERNANDO DE FARIA</v>
      </c>
      <c r="C1141" s="4" t="str">
        <f>"TECNICO ADM ESPECIALIZADO"</f>
        <v>TECNICO ADM ESPECIALIZADO</v>
      </c>
      <c r="D1141" s="5">
        <v>500</v>
      </c>
      <c r="E1141" s="4" t="str">
        <f t="shared" si="91"/>
        <v>Funcionário</v>
      </c>
    </row>
    <row r="1142" spans="1:5">
      <c r="A1142" s="4" t="str">
        <f t="shared" si="90"/>
        <v>5</v>
      </c>
      <c r="B1142" s="4" t="str">
        <f>"FLAVIA CRISTINA PEREIRA AZEVEDO"</f>
        <v>FLAVIA CRISTINA PEREIRA AZEVEDO</v>
      </c>
      <c r="C1142" s="4" t="str">
        <f>"OFICIAL DE PRODUCAO INDUSTRIAL"</f>
        <v>OFICIAL DE PRODUCAO INDUSTRIAL</v>
      </c>
      <c r="D1142" s="5">
        <v>500</v>
      </c>
      <c r="E1142" s="4" t="str">
        <f t="shared" si="91"/>
        <v>Funcionário</v>
      </c>
    </row>
    <row r="1143" spans="1:5">
      <c r="A1143" s="4" t="str">
        <f t="shared" si="90"/>
        <v>5</v>
      </c>
      <c r="B1143" s="4" t="str">
        <f>"FLAVIO DA SILVA FAUSTINO"</f>
        <v>FLAVIO DA SILVA FAUSTINO</v>
      </c>
      <c r="C1143" s="4" t="str">
        <f>"OFICIAL DE PRODUCAO INDUSTRIAL"</f>
        <v>OFICIAL DE PRODUCAO INDUSTRIAL</v>
      </c>
      <c r="D1143" s="5">
        <v>500</v>
      </c>
      <c r="E1143" s="4" t="str">
        <f t="shared" si="91"/>
        <v>Funcionário</v>
      </c>
    </row>
    <row r="1144" spans="1:5">
      <c r="A1144" s="4" t="str">
        <f t="shared" si="90"/>
        <v>5</v>
      </c>
      <c r="B1144" s="4" t="str">
        <f>"FLAVIO HENRIQUE MAXIMO"</f>
        <v>FLAVIO HENRIQUE MAXIMO</v>
      </c>
      <c r="C1144" s="4" t="str">
        <f>"OFICIAL DE PRODUCAO INDUSTRIAL"</f>
        <v>OFICIAL DE PRODUCAO INDUSTRIAL</v>
      </c>
      <c r="D1144" s="5">
        <v>500</v>
      </c>
      <c r="E1144" s="4" t="str">
        <f t="shared" si="91"/>
        <v>Funcionário</v>
      </c>
    </row>
    <row r="1145" spans="1:5">
      <c r="A1145" s="4" t="str">
        <f t="shared" si="90"/>
        <v>5</v>
      </c>
      <c r="B1145" s="4" t="str">
        <f>"FLORIVAL ALVES DE OLIVEIRA"</f>
        <v>FLORIVAL ALVES DE OLIVEIRA</v>
      </c>
      <c r="C1145" s="4" t="str">
        <f>"OFICIAL DE PRODUCAO INDUSTRIAL"</f>
        <v>OFICIAL DE PRODUCAO INDUSTRIAL</v>
      </c>
      <c r="D1145" s="5">
        <v>500</v>
      </c>
      <c r="E1145" s="4" t="str">
        <f>"Aposentado"</f>
        <v>Aposentado</v>
      </c>
    </row>
    <row r="1146" spans="1:5">
      <c r="A1146" s="4" t="str">
        <f t="shared" si="90"/>
        <v>5</v>
      </c>
      <c r="B1146" s="4" t="str">
        <f>"FRANCIELE FRANCISCA DE SOUZA"</f>
        <v>FRANCIELE FRANCISCA DE SOUZA</v>
      </c>
      <c r="C1146" s="4" t="str">
        <f>"TEC INDUSTRIAL ESPECIALIZADO"</f>
        <v>TEC INDUSTRIAL ESPECIALIZADO</v>
      </c>
      <c r="D1146" s="5">
        <v>500</v>
      </c>
      <c r="E1146" s="4" t="str">
        <f>"Funcionário"</f>
        <v>Funcionário</v>
      </c>
    </row>
    <row r="1147" spans="1:5">
      <c r="A1147" s="4" t="str">
        <f t="shared" si="90"/>
        <v>5</v>
      </c>
      <c r="B1147" s="4" t="str">
        <f>"FRANCIS FERREIRA DOS SANTOS"</f>
        <v>FRANCIS FERREIRA DOS SANTOS</v>
      </c>
      <c r="C1147" s="4" t="str">
        <f>"OFICIAL DE PRODUCAO INDUSTRIAL"</f>
        <v>OFICIAL DE PRODUCAO INDUSTRIAL</v>
      </c>
      <c r="D1147" s="5">
        <v>500</v>
      </c>
      <c r="E1147" s="4" t="str">
        <f>"Funcionário"</f>
        <v>Funcionário</v>
      </c>
    </row>
    <row r="1148" spans="1:5">
      <c r="A1148" s="4" t="str">
        <f t="shared" si="90"/>
        <v>5</v>
      </c>
      <c r="B1148" s="4" t="str">
        <f>"FRANCISCO CARLOS RIBEIRO"</f>
        <v>FRANCISCO CARLOS RIBEIRO</v>
      </c>
      <c r="C1148" s="4" t="str">
        <f>"TEC INDUSTRIAL ESPECIALIZADO"</f>
        <v>TEC INDUSTRIAL ESPECIALIZADO</v>
      </c>
      <c r="D1148" s="5">
        <v>500</v>
      </c>
      <c r="E1148" s="4" t="str">
        <f>"Aposentado"</f>
        <v>Aposentado</v>
      </c>
    </row>
    <row r="1149" spans="1:5">
      <c r="A1149" s="4" t="str">
        <f t="shared" si="90"/>
        <v>5</v>
      </c>
      <c r="B1149" s="4" t="str">
        <f>"FRANCISCO EUGENIO RAMOS"</f>
        <v>FRANCISCO EUGENIO RAMOS</v>
      </c>
      <c r="C1149" s="4" t="str">
        <f>"OFICIAL DE PRODUCAO INDUSTRIAL"</f>
        <v>OFICIAL DE PRODUCAO INDUSTRIAL</v>
      </c>
      <c r="D1149" s="5">
        <v>500</v>
      </c>
      <c r="E1149" s="4" t="str">
        <f>"Aposentado"</f>
        <v>Aposentado</v>
      </c>
    </row>
    <row r="1150" spans="1:5">
      <c r="A1150" s="4" t="str">
        <f t="shared" si="90"/>
        <v>5</v>
      </c>
      <c r="B1150" s="4" t="str">
        <f>"FRANCISCO JOSE DE FARIA"</f>
        <v>FRANCISCO JOSE DE FARIA</v>
      </c>
      <c r="C1150" s="4" t="str">
        <f>"OFICIAL DE PRODUCAO INDUSTRIAL"</f>
        <v>OFICIAL DE PRODUCAO INDUSTRIAL</v>
      </c>
      <c r="D1150" s="5">
        <v>500</v>
      </c>
      <c r="E1150" s="4" t="str">
        <f>"Aposentado"</f>
        <v>Aposentado</v>
      </c>
    </row>
    <row r="1151" spans="1:5">
      <c r="A1151" s="4" t="str">
        <f t="shared" si="90"/>
        <v>5</v>
      </c>
      <c r="B1151" s="4" t="str">
        <f>"GABRIEL LUIZ RIBEIRO JUNQUEIRA"</f>
        <v>GABRIEL LUIZ RIBEIRO JUNQUEIRA</v>
      </c>
      <c r="C1151" s="4" t="str">
        <f>"MILITAR DA ATIVA"</f>
        <v>MILITAR DA ATIVA</v>
      </c>
      <c r="D1151" s="5">
        <v>505</v>
      </c>
      <c r="E1151" s="4" t="str">
        <f>"Funcionário"</f>
        <v>Funcionário</v>
      </c>
    </row>
    <row r="1152" spans="1:5">
      <c r="A1152" s="4" t="str">
        <f t="shared" si="90"/>
        <v>5</v>
      </c>
      <c r="B1152" s="4" t="str">
        <f>"GEORGE LUIZ DE OLIVEIRA"</f>
        <v>GEORGE LUIZ DE OLIVEIRA</v>
      </c>
      <c r="C1152" s="4" t="str">
        <f>"ENGENHEIRO"</f>
        <v>ENGENHEIRO</v>
      </c>
      <c r="D1152" s="5">
        <v>500</v>
      </c>
      <c r="E1152" s="4" t="str">
        <f>"Funcionário"</f>
        <v>Funcionário</v>
      </c>
    </row>
    <row r="1153" spans="1:5">
      <c r="A1153" s="4" t="str">
        <f t="shared" si="90"/>
        <v>5</v>
      </c>
      <c r="B1153" s="4" t="str">
        <f>"GERALDO DE CAMPOS MORAES"</f>
        <v>GERALDO DE CAMPOS MORAES</v>
      </c>
      <c r="C1153" s="4" t="str">
        <f>"OFICIAL DE PRODUCAO INDUSTRIAL"</f>
        <v>OFICIAL DE PRODUCAO INDUSTRIAL</v>
      </c>
      <c r="D1153" s="5">
        <v>500</v>
      </c>
      <c r="E1153" s="4" t="str">
        <f>"Aposentado"</f>
        <v>Aposentado</v>
      </c>
    </row>
    <row r="1154" spans="1:5">
      <c r="A1154" s="4" t="str">
        <f t="shared" si="90"/>
        <v>5</v>
      </c>
      <c r="B1154" s="4" t="str">
        <f>"GERALDO DONIZETE DA COSTA"</f>
        <v>GERALDO DONIZETE DA COSTA</v>
      </c>
      <c r="C1154" s="4" t="str">
        <f>"OF FERRAMENTARIA INDUSTRIAL"</f>
        <v>OF FERRAMENTARIA INDUSTRIAL</v>
      </c>
      <c r="D1154" s="5">
        <v>500</v>
      </c>
      <c r="E1154" s="4" t="str">
        <f>"Aposentado"</f>
        <v>Aposentado</v>
      </c>
    </row>
    <row r="1155" spans="1:5">
      <c r="A1155" s="4" t="str">
        <f t="shared" si="90"/>
        <v>5</v>
      </c>
      <c r="B1155" s="4" t="str">
        <f>"GERALDO DONIZETTI MARIANO"</f>
        <v>GERALDO DONIZETTI MARIANO</v>
      </c>
      <c r="C1155" s="4" t="str">
        <f>"OFICIAL DE PRODUCAO INDUSTRIAL"</f>
        <v>OFICIAL DE PRODUCAO INDUSTRIAL</v>
      </c>
      <c r="D1155" s="5">
        <v>500</v>
      </c>
      <c r="E1155" s="4" t="str">
        <f>"Aposentado"</f>
        <v>Aposentado</v>
      </c>
    </row>
    <row r="1156" spans="1:5">
      <c r="A1156" s="4" t="str">
        <f t="shared" si="90"/>
        <v>5</v>
      </c>
      <c r="B1156" s="4" t="str">
        <f>"GERALDO EDSON RIBEIRO"</f>
        <v>GERALDO EDSON RIBEIRO</v>
      </c>
      <c r="C1156" s="4" t="str">
        <f>"OFICIAL DE PRODUCAO INDUSTRIAL"</f>
        <v>OFICIAL DE PRODUCAO INDUSTRIAL</v>
      </c>
      <c r="D1156" s="5">
        <v>500</v>
      </c>
      <c r="E1156" s="4" t="str">
        <f>"Funcionário"</f>
        <v>Funcionário</v>
      </c>
    </row>
    <row r="1157" spans="1:5">
      <c r="A1157" s="4" t="str">
        <f t="shared" si="90"/>
        <v>5</v>
      </c>
      <c r="B1157" s="4" t="str">
        <f>"GERALDO EZIO DE MORAIS"</f>
        <v>GERALDO EZIO DE MORAIS</v>
      </c>
      <c r="C1157" s="4" t="str">
        <f>"AGENTE DE APOIO OPERACIONAL"</f>
        <v>AGENTE DE APOIO OPERACIONAL</v>
      </c>
      <c r="D1157" s="5">
        <v>500</v>
      </c>
      <c r="E1157" s="4" t="str">
        <f>"Funcionário"</f>
        <v>Funcionário</v>
      </c>
    </row>
    <row r="1158" spans="1:5">
      <c r="A1158" s="4" t="str">
        <f t="shared" si="90"/>
        <v>5</v>
      </c>
      <c r="B1158" s="4" t="str">
        <f>"GERALDO JOSE DE CAMPOS"</f>
        <v>GERALDO JOSE DE CAMPOS</v>
      </c>
      <c r="C1158" s="4" t="str">
        <f>"OFICIAL DE PRODUCAO INDUSTRIAL"</f>
        <v>OFICIAL DE PRODUCAO INDUSTRIAL</v>
      </c>
      <c r="D1158" s="5">
        <v>500</v>
      </c>
      <c r="E1158" s="4" t="str">
        <f>"Aposentado"</f>
        <v>Aposentado</v>
      </c>
    </row>
    <row r="1159" spans="1:5">
      <c r="A1159" s="4" t="str">
        <f t="shared" si="90"/>
        <v>5</v>
      </c>
      <c r="B1159" s="4" t="str">
        <f>"GERALDO MAURICIO ROQUE"</f>
        <v>GERALDO MAURICIO ROQUE</v>
      </c>
      <c r="C1159" s="4" t="str">
        <f>"OPER PRODUCAO III"</f>
        <v>OPER PRODUCAO III</v>
      </c>
      <c r="D1159" s="5">
        <v>500</v>
      </c>
      <c r="E1159" s="4" t="str">
        <f>"Funcionário"</f>
        <v>Funcionário</v>
      </c>
    </row>
    <row r="1160" spans="1:5">
      <c r="A1160" s="4" t="str">
        <f t="shared" si="90"/>
        <v>5</v>
      </c>
      <c r="B1160" s="4" t="str">
        <f>"GERALDO RONALDO SOARES"</f>
        <v>GERALDO RONALDO SOARES</v>
      </c>
      <c r="C1160" s="4" t="str">
        <f>"AGENTE DE APOIO OPERACIONAL"</f>
        <v>AGENTE DE APOIO OPERACIONAL</v>
      </c>
      <c r="D1160" s="5">
        <v>500</v>
      </c>
      <c r="E1160" s="4" t="str">
        <f>"Funcionário"</f>
        <v>Funcionário</v>
      </c>
    </row>
    <row r="1161" spans="1:5">
      <c r="A1161" s="4" t="str">
        <f t="shared" si="90"/>
        <v>5</v>
      </c>
      <c r="B1161" s="4" t="str">
        <f>"GERSICA IZABEL DA COSTA CAMPOS"</f>
        <v>GERSICA IZABEL DA COSTA CAMPOS</v>
      </c>
      <c r="C1161" s="4" t="str">
        <f>"OFICIAL DE PRODUCAO INDUSTRIAL"</f>
        <v>OFICIAL DE PRODUCAO INDUSTRIAL</v>
      </c>
      <c r="D1161" s="5">
        <v>500</v>
      </c>
      <c r="E1161" s="4" t="str">
        <f>"Funcionário"</f>
        <v>Funcionário</v>
      </c>
    </row>
    <row r="1162" spans="1:5">
      <c r="A1162" s="4" t="str">
        <f t="shared" si="90"/>
        <v>5</v>
      </c>
      <c r="B1162" s="4" t="str">
        <f>"GERSON CARVALHO DE PAULA"</f>
        <v>GERSON CARVALHO DE PAULA</v>
      </c>
      <c r="C1162" s="4" t="str">
        <f>"OFICIAL DE PRODUCAO INDUSTRIAL"</f>
        <v>OFICIAL DE PRODUCAO INDUSTRIAL</v>
      </c>
      <c r="D1162" s="5">
        <v>500</v>
      </c>
      <c r="E1162" s="4" t="str">
        <f>"Aposentado"</f>
        <v>Aposentado</v>
      </c>
    </row>
    <row r="1163" spans="1:5">
      <c r="A1163" s="4" t="str">
        <f t="shared" si="90"/>
        <v>5</v>
      </c>
      <c r="B1163" s="4" t="str">
        <f>"GERSON MARINHO"</f>
        <v>GERSON MARINHO</v>
      </c>
      <c r="C1163" s="4" t="str">
        <f>"OF FERRAMENTARIA INDUSTRIAL"</f>
        <v>OF FERRAMENTARIA INDUSTRIAL</v>
      </c>
      <c r="D1163" s="5">
        <v>500</v>
      </c>
      <c r="E1163" s="4" t="str">
        <f>"Aposentado"</f>
        <v>Aposentado</v>
      </c>
    </row>
    <row r="1164" spans="1:5">
      <c r="A1164" s="4" t="str">
        <f t="shared" si="90"/>
        <v>5</v>
      </c>
      <c r="B1164" s="4" t="str">
        <f>"GESER LUIZ BRAGA"</f>
        <v>GESER LUIZ BRAGA</v>
      </c>
      <c r="C1164" s="4" t="str">
        <f>"OF FERRAMENTARIA INDUSTRIAL"</f>
        <v>OF FERRAMENTARIA INDUSTRIAL</v>
      </c>
      <c r="D1164" s="5">
        <v>500</v>
      </c>
      <c r="E1164" s="4" t="str">
        <f>"Aposentado"</f>
        <v>Aposentado</v>
      </c>
    </row>
    <row r="1165" spans="1:5">
      <c r="A1165" s="4" t="str">
        <f t="shared" si="90"/>
        <v>5</v>
      </c>
      <c r="B1165" s="4" t="str">
        <f>"GESIANI FRANCISCA DA COSTA SILVA"</f>
        <v>GESIANI FRANCISCA DA COSTA SILVA</v>
      </c>
      <c r="C1165" s="4" t="str">
        <f>"AUX TECNICO ADMINISTRATIVO"</f>
        <v>AUX TECNICO ADMINISTRATIVO</v>
      </c>
      <c r="D1165" s="5">
        <v>500</v>
      </c>
      <c r="E1165" s="4" t="str">
        <f>"Funcionário"</f>
        <v>Funcionário</v>
      </c>
    </row>
    <row r="1166" spans="1:5">
      <c r="A1166" s="4" t="str">
        <f t="shared" si="90"/>
        <v>5</v>
      </c>
      <c r="B1166" s="4" t="str">
        <f>"GESIO DIMAS MAURICIO"</f>
        <v>GESIO DIMAS MAURICIO</v>
      </c>
      <c r="C1166" s="4" t="str">
        <f>"OFICIAL DE PRODUCAO INDUSTRIAL"</f>
        <v>OFICIAL DE PRODUCAO INDUSTRIAL</v>
      </c>
      <c r="D1166" s="5">
        <v>500</v>
      </c>
      <c r="E1166" s="4" t="str">
        <f>"Aposentado"</f>
        <v>Aposentado</v>
      </c>
    </row>
    <row r="1167" spans="1:5">
      <c r="A1167" s="4" t="str">
        <f t="shared" si="90"/>
        <v>5</v>
      </c>
      <c r="B1167" s="4" t="str">
        <f>"GESU LUIZ DE ARAUJO"</f>
        <v>GESU LUIZ DE ARAUJO</v>
      </c>
      <c r="C1167" s="4" t="str">
        <f>"OFICIAL DE PRODUCAO INDUSTRIAL"</f>
        <v>OFICIAL DE PRODUCAO INDUSTRIAL</v>
      </c>
      <c r="D1167" s="5">
        <v>500</v>
      </c>
      <c r="E1167" s="4" t="str">
        <f>"Aposentado"</f>
        <v>Aposentado</v>
      </c>
    </row>
    <row r="1168" spans="1:5">
      <c r="A1168" s="4" t="str">
        <f t="shared" si="90"/>
        <v>5</v>
      </c>
      <c r="B1168" s="4" t="str">
        <f>"GILMAR BATISTA RODRIGUES"</f>
        <v>GILMAR BATISTA RODRIGUES</v>
      </c>
      <c r="C1168" s="4" t="str">
        <f>"AUXILIAR TECNICO INDUSTRIAL"</f>
        <v>AUXILIAR TECNICO INDUSTRIAL</v>
      </c>
      <c r="D1168" s="5">
        <v>500</v>
      </c>
      <c r="E1168" s="4" t="str">
        <f t="shared" ref="E1168:E1175" si="92">"Funcionário"</f>
        <v>Funcionário</v>
      </c>
    </row>
    <row r="1169" spans="1:5">
      <c r="A1169" s="4" t="str">
        <f t="shared" si="90"/>
        <v>5</v>
      </c>
      <c r="B1169" s="4" t="str">
        <f>"GILMARA CIPRIANO GASPAR"</f>
        <v>GILMARA CIPRIANO GASPAR</v>
      </c>
      <c r="C1169" s="4" t="str">
        <f>"OFICIAL DE PRODUCAO INDUSTRIAL"</f>
        <v>OFICIAL DE PRODUCAO INDUSTRIAL</v>
      </c>
      <c r="D1169" s="5">
        <v>500</v>
      </c>
      <c r="E1169" s="4" t="str">
        <f t="shared" si="92"/>
        <v>Funcionário</v>
      </c>
    </row>
    <row r="1170" spans="1:5">
      <c r="A1170" s="4" t="str">
        <f t="shared" si="90"/>
        <v>5</v>
      </c>
      <c r="B1170" s="4" t="str">
        <f>"GIOVANE AUGUSTO"</f>
        <v>GIOVANE AUGUSTO</v>
      </c>
      <c r="C1170" s="4" t="str">
        <f>"OF FERRAMENTARIA INDUSTRIAL"</f>
        <v>OF FERRAMENTARIA INDUSTRIAL</v>
      </c>
      <c r="D1170" s="5">
        <v>500</v>
      </c>
      <c r="E1170" s="4" t="str">
        <f t="shared" si="92"/>
        <v>Funcionário</v>
      </c>
    </row>
    <row r="1171" spans="1:5">
      <c r="A1171" s="4" t="str">
        <f t="shared" si="90"/>
        <v>5</v>
      </c>
      <c r="B1171" s="4" t="str">
        <f>"GIOVANNI FRANCISCO MARINHO"</f>
        <v>GIOVANNI FRANCISCO MARINHO</v>
      </c>
      <c r="C1171" s="4" t="str">
        <f>"AUXILIAR TECNICO INDUSTRIAL"</f>
        <v>AUXILIAR TECNICO INDUSTRIAL</v>
      </c>
      <c r="D1171" s="5">
        <v>500</v>
      </c>
      <c r="E1171" s="4" t="str">
        <f t="shared" si="92"/>
        <v>Funcionário</v>
      </c>
    </row>
    <row r="1172" spans="1:5">
      <c r="A1172" s="4" t="str">
        <f t="shared" si="90"/>
        <v>5</v>
      </c>
      <c r="B1172" s="4" t="str">
        <f>"GISCARD MARCIAL DE CARVALHO E SILVA"</f>
        <v>GISCARD MARCIAL DE CARVALHO E SILVA</v>
      </c>
      <c r="C1172" s="4" t="str">
        <f>"OFICIAL DE PRODUCAO INDUSTRIAL"</f>
        <v>OFICIAL DE PRODUCAO INDUSTRIAL</v>
      </c>
      <c r="D1172" s="5">
        <v>500</v>
      </c>
      <c r="E1172" s="4" t="str">
        <f t="shared" si="92"/>
        <v>Funcionário</v>
      </c>
    </row>
    <row r="1173" spans="1:5">
      <c r="A1173" s="4" t="str">
        <f t="shared" si="90"/>
        <v>5</v>
      </c>
      <c r="B1173" s="4" t="str">
        <f>"GLAUCIA CRISTINA DO PRADO"</f>
        <v>GLAUCIA CRISTINA DO PRADO</v>
      </c>
      <c r="C1173" s="4" t="str">
        <f>"OFICIAL DE PRODUCAO INDUSTRIAL"</f>
        <v>OFICIAL DE PRODUCAO INDUSTRIAL</v>
      </c>
      <c r="D1173" s="5">
        <v>500</v>
      </c>
      <c r="E1173" s="4" t="str">
        <f t="shared" si="92"/>
        <v>Funcionário</v>
      </c>
    </row>
    <row r="1174" spans="1:5">
      <c r="A1174" s="4" t="str">
        <f t="shared" si="90"/>
        <v>5</v>
      </c>
      <c r="B1174" s="4" t="str">
        <f>"GRAZIELA APARECIDA BRASIL"</f>
        <v>GRAZIELA APARECIDA BRASIL</v>
      </c>
      <c r="C1174" s="4" t="str">
        <f>"TECNICO ADM ESPECIALIZADO"</f>
        <v>TECNICO ADM ESPECIALIZADO</v>
      </c>
      <c r="D1174" s="5">
        <v>500</v>
      </c>
      <c r="E1174" s="4" t="str">
        <f t="shared" si="92"/>
        <v>Funcionário</v>
      </c>
    </row>
    <row r="1175" spans="1:5">
      <c r="A1175" s="4" t="str">
        <f t="shared" si="90"/>
        <v>5</v>
      </c>
      <c r="B1175" s="4" t="str">
        <f>"HAMILTON DONIZETE INACIO"</f>
        <v>HAMILTON DONIZETE INACIO</v>
      </c>
      <c r="C1175" s="4" t="str">
        <f>"TECNICO INDUSTRIAL ESPECIALIZADO"</f>
        <v>TECNICO INDUSTRIAL ESPECIALIZADO</v>
      </c>
      <c r="D1175" s="5">
        <v>500</v>
      </c>
      <c r="E1175" s="4" t="str">
        <f t="shared" si="92"/>
        <v>Funcionário</v>
      </c>
    </row>
    <row r="1176" spans="1:5">
      <c r="A1176" s="4" t="str">
        <f t="shared" si="90"/>
        <v>5</v>
      </c>
      <c r="B1176" s="4" t="str">
        <f>"HELCIO BATISTA DOS SANTOS"</f>
        <v>HELCIO BATISTA DOS SANTOS</v>
      </c>
      <c r="C1176" s="4" t="str">
        <f>"OFICIAL DE PRODUCAO INDUSTRIAL"</f>
        <v>OFICIAL DE PRODUCAO INDUSTRIAL</v>
      </c>
      <c r="D1176" s="5">
        <v>500</v>
      </c>
      <c r="E1176" s="4" t="str">
        <f>"Aposentado"</f>
        <v>Aposentado</v>
      </c>
    </row>
    <row r="1177" spans="1:5">
      <c r="A1177" s="4" t="str">
        <f t="shared" si="90"/>
        <v>5</v>
      </c>
      <c r="B1177" s="4" t="str">
        <f>"HELIANE DANIELE DA SILVA"</f>
        <v>HELIANE DANIELE DA SILVA</v>
      </c>
      <c r="C1177" s="4" t="str">
        <f>"OFICIAL DE PRODUCAO INDUSTRIAL"</f>
        <v>OFICIAL DE PRODUCAO INDUSTRIAL</v>
      </c>
      <c r="D1177" s="5">
        <v>500</v>
      </c>
      <c r="E1177" s="4" t="str">
        <f>"Funcionário"</f>
        <v>Funcionário</v>
      </c>
    </row>
    <row r="1178" spans="1:5">
      <c r="A1178" s="4" t="str">
        <f t="shared" si="90"/>
        <v>5</v>
      </c>
      <c r="B1178" s="4" t="str">
        <f>"HELIDA APARECIDA DA COSTA"</f>
        <v>HELIDA APARECIDA DA COSTA</v>
      </c>
      <c r="C1178" s="4" t="str">
        <f>"OFICIAL DE PRODUCAO INDUSTRIAL"</f>
        <v>OFICIAL DE PRODUCAO INDUSTRIAL</v>
      </c>
      <c r="D1178" s="5">
        <v>500</v>
      </c>
      <c r="E1178" s="4" t="str">
        <f>"Funcionário"</f>
        <v>Funcionário</v>
      </c>
    </row>
    <row r="1179" spans="1:5">
      <c r="A1179" s="4" t="str">
        <f t="shared" si="90"/>
        <v>5</v>
      </c>
      <c r="B1179" s="4" t="str">
        <f>"HELIO ANTONIO TAVARES"</f>
        <v>HELIO ANTONIO TAVARES</v>
      </c>
      <c r="C1179" s="4" t="str">
        <f>"OF FERRAMENTARIA INDUSTRIAL"</f>
        <v>OF FERRAMENTARIA INDUSTRIAL</v>
      </c>
      <c r="D1179" s="5">
        <v>500</v>
      </c>
      <c r="E1179" s="4" t="str">
        <f>"Aposentado"</f>
        <v>Aposentado</v>
      </c>
    </row>
    <row r="1180" spans="1:5">
      <c r="A1180" s="4" t="str">
        <f t="shared" si="90"/>
        <v>5</v>
      </c>
      <c r="B1180" s="4" t="str">
        <f>"IDEIDIANE RENATA TIMOTEO"</f>
        <v>IDEIDIANE RENATA TIMOTEO</v>
      </c>
      <c r="C1180" s="4" t="str">
        <f>"AGENTE DE APOIO OPERACIONAL"</f>
        <v>AGENTE DE APOIO OPERACIONAL</v>
      </c>
      <c r="D1180" s="5">
        <v>500</v>
      </c>
      <c r="E1180" s="4" t="str">
        <f>"Funcionário"</f>
        <v>Funcionário</v>
      </c>
    </row>
    <row r="1181" spans="1:5">
      <c r="A1181" s="4" t="str">
        <f t="shared" si="90"/>
        <v>5</v>
      </c>
      <c r="B1181" s="4" t="str">
        <f>"IMACULADA CONCEICAO RIBEIRO"</f>
        <v>IMACULADA CONCEICAO RIBEIRO</v>
      </c>
      <c r="C1181" s="4" t="str">
        <f>"TECNICO ADM ESPECIALIZADO"</f>
        <v>TECNICO ADM ESPECIALIZADO</v>
      </c>
      <c r="D1181" s="5">
        <v>500</v>
      </c>
      <c r="E1181" s="4" t="str">
        <f>"Funcionário"</f>
        <v>Funcionário</v>
      </c>
    </row>
    <row r="1182" spans="1:5">
      <c r="A1182" s="4" t="str">
        <f t="shared" si="90"/>
        <v>5</v>
      </c>
      <c r="B1182" s="4" t="str">
        <f>"IRINEU DE FARIA"</f>
        <v>IRINEU DE FARIA</v>
      </c>
      <c r="C1182" s="4" t="str">
        <f>"AGENTE DE APOIO OPERACIONAL"</f>
        <v>AGENTE DE APOIO OPERACIONAL</v>
      </c>
      <c r="D1182" s="5">
        <v>500</v>
      </c>
      <c r="E1182" s="4" t="str">
        <f>"Funcionário"</f>
        <v>Funcionário</v>
      </c>
    </row>
    <row r="1183" spans="1:5">
      <c r="A1183" s="4" t="str">
        <f t="shared" si="90"/>
        <v>5</v>
      </c>
      <c r="B1183" s="4" t="str">
        <f>"IVANISA DOS SANTOS TOLEDO"</f>
        <v>IVANISA DOS SANTOS TOLEDO</v>
      </c>
      <c r="C1183" s="4" t="str">
        <f>"AGENTE DE APOIO OPERACIONAL"</f>
        <v>AGENTE DE APOIO OPERACIONAL</v>
      </c>
      <c r="D1183" s="5">
        <v>500</v>
      </c>
      <c r="E1183" s="4" t="str">
        <f>"Funcionário"</f>
        <v>Funcionário</v>
      </c>
    </row>
    <row r="1184" spans="1:5">
      <c r="A1184" s="4" t="str">
        <f t="shared" si="90"/>
        <v>5</v>
      </c>
      <c r="B1184" s="4" t="str">
        <f>"IVO TIMOTEO CORTEZ"</f>
        <v>IVO TIMOTEO CORTEZ</v>
      </c>
      <c r="C1184" s="4" t="str">
        <f>"AGENTE DE APOIO OPERACIONAL"</f>
        <v>AGENTE DE APOIO OPERACIONAL</v>
      </c>
      <c r="D1184" s="5">
        <v>500</v>
      </c>
      <c r="E1184" s="4" t="str">
        <f>"Aposentado"</f>
        <v>Aposentado</v>
      </c>
    </row>
    <row r="1185" spans="1:5">
      <c r="A1185" s="4" t="str">
        <f t="shared" si="90"/>
        <v>5</v>
      </c>
      <c r="B1185" s="4" t="str">
        <f>"JAIME DE OLIVEIRA"</f>
        <v>JAIME DE OLIVEIRA</v>
      </c>
      <c r="C1185" s="4" t="str">
        <f>"OFICIAL DE PRODUCAO INDUSTRIAL"</f>
        <v>OFICIAL DE PRODUCAO INDUSTRIAL</v>
      </c>
      <c r="D1185" s="5">
        <v>500</v>
      </c>
      <c r="E1185" s="4" t="str">
        <f>"Aposentado"</f>
        <v>Aposentado</v>
      </c>
    </row>
    <row r="1186" spans="1:5">
      <c r="A1186" s="4" t="str">
        <f t="shared" si="90"/>
        <v>5</v>
      </c>
      <c r="B1186" s="4" t="str">
        <f>"JAIR ROSA CANDIDO"</f>
        <v>JAIR ROSA CANDIDO</v>
      </c>
      <c r="C1186" s="4" t="str">
        <f>"OFICIAL DE PRODUCAO INDUSTRIAL"</f>
        <v>OFICIAL DE PRODUCAO INDUSTRIAL</v>
      </c>
      <c r="D1186" s="5">
        <v>500</v>
      </c>
      <c r="E1186" s="4" t="str">
        <f>"Aposentado"</f>
        <v>Aposentado</v>
      </c>
    </row>
    <row r="1187" spans="1:5">
      <c r="A1187" s="4" t="str">
        <f t="shared" si="90"/>
        <v>5</v>
      </c>
      <c r="B1187" s="4" t="str">
        <f>"JAMES HOSSEIN DE MELLO PAIXAO"</f>
        <v>JAMES HOSSEIN DE MELLO PAIXAO</v>
      </c>
      <c r="C1187" s="4" t="str">
        <f>"TEC INDUSTRIAL ESPECIALIZADO"</f>
        <v>TEC INDUSTRIAL ESPECIALIZADO</v>
      </c>
      <c r="D1187" s="5">
        <v>500</v>
      </c>
      <c r="E1187" s="4" t="str">
        <f>"Aposentado"</f>
        <v>Aposentado</v>
      </c>
    </row>
    <row r="1188" spans="1:5">
      <c r="A1188" s="4" t="str">
        <f t="shared" si="90"/>
        <v>5</v>
      </c>
      <c r="B1188" s="4" t="str">
        <f>"JANDER DOMINGUES PINTO"</f>
        <v>JANDER DOMINGUES PINTO</v>
      </c>
      <c r="C1188" s="4" t="str">
        <f>"TECNICO INDUSTRIAL ESPECIALIZADO"</f>
        <v>TECNICO INDUSTRIAL ESPECIALIZADO</v>
      </c>
      <c r="D1188" s="5">
        <v>500</v>
      </c>
      <c r="E1188" s="4" t="str">
        <f>"Funcionário"</f>
        <v>Funcionário</v>
      </c>
    </row>
    <row r="1189" spans="1:5">
      <c r="A1189" s="4" t="str">
        <f t="shared" si="90"/>
        <v>5</v>
      </c>
      <c r="B1189" s="4" t="str">
        <f>"JAYME DE OLIVEIRA VILAS BOAS"</f>
        <v>JAYME DE OLIVEIRA VILAS BOAS</v>
      </c>
      <c r="C1189" s="4" t="str">
        <f>"OFICIAL DE PRODUCAO INDUSTRIAL"</f>
        <v>OFICIAL DE PRODUCAO INDUSTRIAL</v>
      </c>
      <c r="D1189" s="5">
        <v>500</v>
      </c>
      <c r="E1189" s="4" t="str">
        <f>"Funcionário"</f>
        <v>Funcionário</v>
      </c>
    </row>
    <row r="1190" spans="1:5">
      <c r="A1190" s="4" t="str">
        <f t="shared" si="90"/>
        <v>5</v>
      </c>
      <c r="B1190" s="4" t="str">
        <f>"JEFERSON CORTEZ MARQUES"</f>
        <v>JEFERSON CORTEZ MARQUES</v>
      </c>
      <c r="C1190" s="4" t="str">
        <f>"TECNICO ADM ESPECIALIZADO"</f>
        <v>TECNICO ADM ESPECIALIZADO</v>
      </c>
      <c r="D1190" s="5">
        <v>500</v>
      </c>
      <c r="E1190" s="4" t="str">
        <f>"Funcionário"</f>
        <v>Funcionário</v>
      </c>
    </row>
    <row r="1191" spans="1:5">
      <c r="A1191" s="4" t="str">
        <f t="shared" si="90"/>
        <v>5</v>
      </c>
      <c r="B1191" s="4" t="str">
        <f>"JEREMIAS SILVERIO RIBEIRO"</f>
        <v>JEREMIAS SILVERIO RIBEIRO</v>
      </c>
      <c r="C1191" s="4" t="str">
        <f>"APRENDIZ- PRODUÇÃO"</f>
        <v>APRENDIZ- PRODUÇÃO</v>
      </c>
      <c r="D1191" s="5">
        <v>503</v>
      </c>
      <c r="E1191" s="4" t="str">
        <f>"Aprendiz"</f>
        <v>Aprendiz</v>
      </c>
    </row>
    <row r="1192" spans="1:5">
      <c r="A1192" s="4" t="str">
        <f t="shared" si="90"/>
        <v>5</v>
      </c>
      <c r="B1192" s="4" t="str">
        <f>"JERSON NOGUEIRA DE ALBUQUERQUE"</f>
        <v>JERSON NOGUEIRA DE ALBUQUERQUE</v>
      </c>
      <c r="C1192" s="4" t="str">
        <f>"OFICIAL DE PRODUCAO INDUSTRIAL"</f>
        <v>OFICIAL DE PRODUCAO INDUSTRIAL</v>
      </c>
      <c r="D1192" s="5">
        <v>500</v>
      </c>
      <c r="E1192" s="4" t="str">
        <f>"Aposentado"</f>
        <v>Aposentado</v>
      </c>
    </row>
    <row r="1193" spans="1:5">
      <c r="A1193" s="4" t="str">
        <f t="shared" si="90"/>
        <v>5</v>
      </c>
      <c r="B1193" s="4" t="str">
        <f>"JOABE CARLOS DE OLIVEIRA"</f>
        <v>JOABE CARLOS DE OLIVEIRA</v>
      </c>
      <c r="C1193" s="4" t="str">
        <f>"TEC INDUSTRIAL ESPECIALIZADO"</f>
        <v>TEC INDUSTRIAL ESPECIALIZADO</v>
      </c>
      <c r="D1193" s="5">
        <v>500</v>
      </c>
      <c r="E1193" s="4" t="str">
        <f>"Funcionário"</f>
        <v>Funcionário</v>
      </c>
    </row>
    <row r="1194" spans="1:5">
      <c r="A1194" s="4" t="str">
        <f t="shared" ref="A1194:A1257" si="93">"5"</f>
        <v>5</v>
      </c>
      <c r="B1194" s="4" t="str">
        <f>"JOANA DARC DE SOUZA SANTOS"</f>
        <v>JOANA DARC DE SOUZA SANTOS</v>
      </c>
      <c r="C1194" s="4" t="str">
        <f>"AGENTE DE APOIO OPERACIONAL"</f>
        <v>AGENTE DE APOIO OPERACIONAL</v>
      </c>
      <c r="D1194" s="5">
        <v>500</v>
      </c>
      <c r="E1194" s="4" t="str">
        <f>"Funcionário"</f>
        <v>Funcionário</v>
      </c>
    </row>
    <row r="1195" spans="1:5">
      <c r="A1195" s="4" t="str">
        <f t="shared" si="93"/>
        <v>5</v>
      </c>
      <c r="B1195" s="4" t="str">
        <f>"JOAO BATISTA"</f>
        <v>JOAO BATISTA</v>
      </c>
      <c r="C1195" s="4" t="str">
        <f>"OFICIAL DE PRODUCAO INDUSTRIAL"</f>
        <v>OFICIAL DE PRODUCAO INDUSTRIAL</v>
      </c>
      <c r="D1195" s="5">
        <v>500</v>
      </c>
      <c r="E1195" s="4" t="str">
        <f>"Aposentado"</f>
        <v>Aposentado</v>
      </c>
    </row>
    <row r="1196" spans="1:5">
      <c r="A1196" s="4" t="str">
        <f t="shared" si="93"/>
        <v>5</v>
      </c>
      <c r="B1196" s="4" t="str">
        <f>"JOAO BATISTA ESTEVAO"</f>
        <v>JOAO BATISTA ESTEVAO</v>
      </c>
      <c r="C1196" s="4" t="str">
        <f>"OFICIAL DE PRODUCAO INDUSTRIAL"</f>
        <v>OFICIAL DE PRODUCAO INDUSTRIAL</v>
      </c>
      <c r="D1196" s="5">
        <v>500</v>
      </c>
      <c r="E1196" s="4" t="str">
        <f>"Funcionário"</f>
        <v>Funcionário</v>
      </c>
    </row>
    <row r="1197" spans="1:5">
      <c r="A1197" s="4" t="str">
        <f t="shared" si="93"/>
        <v>5</v>
      </c>
      <c r="B1197" s="4" t="str">
        <f>"JOAO BOSCO DA SILVA"</f>
        <v>JOAO BOSCO DA SILVA</v>
      </c>
      <c r="C1197" s="4" t="str">
        <f>"TEC INDUSTRIAL ESPECIALIZADO"</f>
        <v>TEC INDUSTRIAL ESPECIALIZADO</v>
      </c>
      <c r="D1197" s="5">
        <v>500</v>
      </c>
      <c r="E1197" s="4" t="str">
        <f>"Aposentado"</f>
        <v>Aposentado</v>
      </c>
    </row>
    <row r="1198" spans="1:5">
      <c r="A1198" s="4" t="str">
        <f t="shared" si="93"/>
        <v>5</v>
      </c>
      <c r="B1198" s="4" t="str">
        <f>"JOAO BOSCO STORINO"</f>
        <v>JOAO BOSCO STORINO</v>
      </c>
      <c r="C1198" s="4" t="str">
        <f>"OFICIAL DE PRODUCAO INDUSTRIAL"</f>
        <v>OFICIAL DE PRODUCAO INDUSTRIAL</v>
      </c>
      <c r="D1198" s="5">
        <v>500</v>
      </c>
      <c r="E1198" s="4" t="str">
        <f>"Aposentado"</f>
        <v>Aposentado</v>
      </c>
    </row>
    <row r="1199" spans="1:5">
      <c r="A1199" s="4" t="str">
        <f t="shared" si="93"/>
        <v>5</v>
      </c>
      <c r="B1199" s="4" t="str">
        <f>"JOAO CARLOS CORREIA"</f>
        <v>JOAO CARLOS CORREIA</v>
      </c>
      <c r="C1199" s="4" t="str">
        <f>"OFICIAL DE PRODUCAO INDUSTRIAL"</f>
        <v>OFICIAL DE PRODUCAO INDUSTRIAL</v>
      </c>
      <c r="D1199" s="5">
        <v>500</v>
      </c>
      <c r="E1199" s="4" t="str">
        <f>"Funcionário"</f>
        <v>Funcionário</v>
      </c>
    </row>
    <row r="1200" spans="1:5">
      <c r="A1200" s="4" t="str">
        <f t="shared" si="93"/>
        <v>5</v>
      </c>
      <c r="B1200" s="4" t="str">
        <f>"JOAO CARLOS CORTEZ"</f>
        <v>JOAO CARLOS CORTEZ</v>
      </c>
      <c r="C1200" s="4" t="str">
        <f>"OFICIAL DE PRODUCAO INDUSTRIAL"</f>
        <v>OFICIAL DE PRODUCAO INDUSTRIAL</v>
      </c>
      <c r="D1200" s="5">
        <v>500</v>
      </c>
      <c r="E1200" s="4" t="str">
        <f>"Aposentado"</f>
        <v>Aposentado</v>
      </c>
    </row>
    <row r="1201" spans="1:5">
      <c r="A1201" s="4" t="str">
        <f t="shared" si="93"/>
        <v>5</v>
      </c>
      <c r="B1201" s="4" t="str">
        <f>"JOAO CARLOS MARTINS"</f>
        <v>JOAO CARLOS MARTINS</v>
      </c>
      <c r="C1201" s="4" t="str">
        <f>"OFICIAL DE PRODUCAO INDUSTRIAL"</f>
        <v>OFICIAL DE PRODUCAO INDUSTRIAL</v>
      </c>
      <c r="D1201" s="5">
        <v>500</v>
      </c>
      <c r="E1201" s="4" t="str">
        <f>"Aposentado"</f>
        <v>Aposentado</v>
      </c>
    </row>
    <row r="1202" spans="1:5">
      <c r="A1202" s="4" t="str">
        <f t="shared" si="93"/>
        <v>5</v>
      </c>
      <c r="B1202" s="4" t="str">
        <f>"JOAO CARLOS MOTA"</f>
        <v>JOAO CARLOS MOTA</v>
      </c>
      <c r="C1202" s="4" t="str">
        <f>"OF FERRAMENTARIA INDUSTRIAL"</f>
        <v>OF FERRAMENTARIA INDUSTRIAL</v>
      </c>
      <c r="D1202" s="5">
        <v>500</v>
      </c>
      <c r="E1202" s="4" t="str">
        <f>"Funcionário"</f>
        <v>Funcionário</v>
      </c>
    </row>
    <row r="1203" spans="1:5">
      <c r="A1203" s="4" t="str">
        <f t="shared" si="93"/>
        <v>5</v>
      </c>
      <c r="B1203" s="4" t="str">
        <f>"JOAO COLORADO DOS SANTOS"</f>
        <v>JOAO COLORADO DOS SANTOS</v>
      </c>
      <c r="C1203" s="4" t="str">
        <f>"OF FERRAMENTARIA INDUSTRIAL"</f>
        <v>OF FERRAMENTARIA INDUSTRIAL</v>
      </c>
      <c r="D1203" s="5">
        <v>500</v>
      </c>
      <c r="E1203" s="4" t="str">
        <f>"Funcionário"</f>
        <v>Funcionário</v>
      </c>
    </row>
    <row r="1204" spans="1:5">
      <c r="A1204" s="4" t="str">
        <f t="shared" si="93"/>
        <v>5</v>
      </c>
      <c r="B1204" s="4" t="str">
        <f>"JOAO HERBES DA SILVA SAMPAIO"</f>
        <v>JOAO HERBES DA SILVA SAMPAIO</v>
      </c>
      <c r="C1204" s="4" t="str">
        <f>"MILITAR DA ATIVA"</f>
        <v>MILITAR DA ATIVA</v>
      </c>
      <c r="D1204" s="5">
        <v>505</v>
      </c>
      <c r="E1204" s="4" t="str">
        <f>"Funcionário"</f>
        <v>Funcionário</v>
      </c>
    </row>
    <row r="1205" spans="1:5">
      <c r="A1205" s="4" t="str">
        <f t="shared" si="93"/>
        <v>5</v>
      </c>
      <c r="B1205" s="4" t="str">
        <f>"JOAO JOSE DE TOLEDO"</f>
        <v>JOAO JOSE DE TOLEDO</v>
      </c>
      <c r="C1205" s="4" t="str">
        <f>"OFICIAL DE PRODUCAO INDUSTRIAL"</f>
        <v>OFICIAL DE PRODUCAO INDUSTRIAL</v>
      </c>
      <c r="D1205" s="5">
        <v>500</v>
      </c>
      <c r="E1205" s="4" t="str">
        <f>"Aposentado"</f>
        <v>Aposentado</v>
      </c>
    </row>
    <row r="1206" spans="1:5">
      <c r="A1206" s="4" t="str">
        <f t="shared" si="93"/>
        <v>5</v>
      </c>
      <c r="B1206" s="4" t="str">
        <f>"JOAO LUIZ DA SILVA"</f>
        <v>JOAO LUIZ DA SILVA</v>
      </c>
      <c r="C1206" s="4" t="str">
        <f>"OFICIAL DE PRODUCAO INDUSTRIAL"</f>
        <v>OFICIAL DE PRODUCAO INDUSTRIAL</v>
      </c>
      <c r="D1206" s="5">
        <v>500</v>
      </c>
      <c r="E1206" s="4" t="str">
        <f>"Aposentado"</f>
        <v>Aposentado</v>
      </c>
    </row>
    <row r="1207" spans="1:5">
      <c r="A1207" s="4" t="str">
        <f t="shared" si="93"/>
        <v>5</v>
      </c>
      <c r="B1207" s="4" t="str">
        <f>"JOAO MARCOS ZAMPERLINI PAQUINI"</f>
        <v>JOAO MARCOS ZAMPERLINI PAQUINI</v>
      </c>
      <c r="C1207" s="4" t="str">
        <f>"MILITAR DA ATIVA"</f>
        <v>MILITAR DA ATIVA</v>
      </c>
      <c r="D1207" s="5">
        <v>505</v>
      </c>
      <c r="E1207" s="4" t="str">
        <f>"Funcionário"</f>
        <v>Funcionário</v>
      </c>
    </row>
    <row r="1208" spans="1:5">
      <c r="A1208" s="4" t="str">
        <f t="shared" si="93"/>
        <v>5</v>
      </c>
      <c r="B1208" s="4" t="str">
        <f>"JOAO MARTINHO TRISTAO"</f>
        <v>JOAO MARTINHO TRISTAO</v>
      </c>
      <c r="C1208" s="4" t="str">
        <f>"OFICIAL DE PRODUCAO INDUSTRIAL"</f>
        <v>OFICIAL DE PRODUCAO INDUSTRIAL</v>
      </c>
      <c r="D1208" s="5">
        <v>500</v>
      </c>
      <c r="E1208" s="4" t="str">
        <f>"Aposentado"</f>
        <v>Aposentado</v>
      </c>
    </row>
    <row r="1209" spans="1:5">
      <c r="A1209" s="4" t="str">
        <f t="shared" si="93"/>
        <v>5</v>
      </c>
      <c r="B1209" s="4" t="str">
        <f>"JOAO PAULO SANTANA DA SILVA"</f>
        <v>JOAO PAULO SANTANA DA SILVA</v>
      </c>
      <c r="C1209" s="4" t="str">
        <f>"OFICIAL DE PRODUCAO INDUSTRIAL"</f>
        <v>OFICIAL DE PRODUCAO INDUSTRIAL</v>
      </c>
      <c r="D1209" s="5">
        <v>500</v>
      </c>
      <c r="E1209" s="4" t="str">
        <f>"Funcionário"</f>
        <v>Funcionário</v>
      </c>
    </row>
    <row r="1210" spans="1:5">
      <c r="A1210" s="4" t="str">
        <f t="shared" si="93"/>
        <v>5</v>
      </c>
      <c r="B1210" s="4" t="str">
        <f>"JOAO RIBEIRO"</f>
        <v>JOAO RIBEIRO</v>
      </c>
      <c r="C1210" s="4" t="str">
        <f>"OFICIAL DE PRODUCAO INDUSTRIAL"</f>
        <v>OFICIAL DE PRODUCAO INDUSTRIAL</v>
      </c>
      <c r="D1210" s="5">
        <v>500</v>
      </c>
      <c r="E1210" s="4" t="str">
        <f>"Funcionário"</f>
        <v>Funcionário</v>
      </c>
    </row>
    <row r="1211" spans="1:5">
      <c r="A1211" s="4" t="str">
        <f t="shared" si="93"/>
        <v>5</v>
      </c>
      <c r="B1211" s="4" t="str">
        <f>"JOAQUIM EDIVALDO ARTEMIN DE MOURA"</f>
        <v>JOAQUIM EDIVALDO ARTEMIN DE MOURA</v>
      </c>
      <c r="C1211" s="4" t="str">
        <f>"TEC INDUSTRIAL ESPECIALIZADO"</f>
        <v>TEC INDUSTRIAL ESPECIALIZADO</v>
      </c>
      <c r="D1211" s="5">
        <v>500</v>
      </c>
      <c r="E1211" s="4" t="str">
        <f>"Funcionário"</f>
        <v>Funcionário</v>
      </c>
    </row>
    <row r="1212" spans="1:5">
      <c r="A1212" s="4" t="str">
        <f t="shared" si="93"/>
        <v>5</v>
      </c>
      <c r="B1212" s="4" t="str">
        <f>"JOAQUIM FRANCISCO SILVA"</f>
        <v>JOAQUIM FRANCISCO SILVA</v>
      </c>
      <c r="C1212" s="4" t="str">
        <f>"OFICIAL DE PRODUCAO INDUSTRIAL"</f>
        <v>OFICIAL DE PRODUCAO INDUSTRIAL</v>
      </c>
      <c r="D1212" s="5">
        <v>500</v>
      </c>
      <c r="E1212" s="4" t="str">
        <f>"Aposentado"</f>
        <v>Aposentado</v>
      </c>
    </row>
    <row r="1213" spans="1:5">
      <c r="A1213" s="4" t="str">
        <f t="shared" si="93"/>
        <v>5</v>
      </c>
      <c r="B1213" s="4" t="str">
        <f>"JOAQUIM RENATO MARTINS"</f>
        <v>JOAQUIM RENATO MARTINS</v>
      </c>
      <c r="C1213" s="4" t="str">
        <f>"OPER PRODUCAO III"</f>
        <v>OPER PRODUCAO III</v>
      </c>
      <c r="D1213" s="5">
        <v>500</v>
      </c>
      <c r="E1213" s="4" t="str">
        <f>"Funcionário"</f>
        <v>Funcionário</v>
      </c>
    </row>
    <row r="1214" spans="1:5">
      <c r="A1214" s="4" t="str">
        <f t="shared" si="93"/>
        <v>5</v>
      </c>
      <c r="B1214" s="4" t="str">
        <f>"JOEL BRAGA"</f>
        <v>JOEL BRAGA</v>
      </c>
      <c r="C1214" s="4" t="str">
        <f>"AUX TECNICO II"</f>
        <v>AUX TECNICO II</v>
      </c>
      <c r="D1214" s="5">
        <v>500</v>
      </c>
      <c r="E1214" s="4" t="str">
        <f>"Funcionário"</f>
        <v>Funcionário</v>
      </c>
    </row>
    <row r="1215" spans="1:5">
      <c r="A1215" s="4" t="str">
        <f t="shared" si="93"/>
        <v>5</v>
      </c>
      <c r="B1215" s="4" t="str">
        <f>"JONAS GEOVANE VIEIRA PINTO"</f>
        <v>JONAS GEOVANE VIEIRA PINTO</v>
      </c>
      <c r="C1215" s="4" t="str">
        <f>"OFICIAL DE PRODUCAO INDUSTRIAL"</f>
        <v>OFICIAL DE PRODUCAO INDUSTRIAL</v>
      </c>
      <c r="D1215" s="5">
        <v>500</v>
      </c>
      <c r="E1215" s="4" t="str">
        <f>"Funcionário"</f>
        <v>Funcionário</v>
      </c>
    </row>
    <row r="1216" spans="1:5">
      <c r="A1216" s="4" t="str">
        <f t="shared" si="93"/>
        <v>5</v>
      </c>
      <c r="B1216" s="4" t="str">
        <f>"JONAS LUIZ DA SILVA CRUZ"</f>
        <v>JONAS LUIZ DA SILVA CRUZ</v>
      </c>
      <c r="C1216" s="4" t="str">
        <f>"MILITAR DA ATIVA"</f>
        <v>MILITAR DA ATIVA</v>
      </c>
      <c r="D1216" s="5">
        <v>505</v>
      </c>
      <c r="E1216" s="4" t="str">
        <f>"Funcionário"</f>
        <v>Funcionário</v>
      </c>
    </row>
    <row r="1217" spans="1:5">
      <c r="A1217" s="4" t="str">
        <f t="shared" si="93"/>
        <v>5</v>
      </c>
      <c r="B1217" s="4" t="str">
        <f>"JORGE ANTONIO FREITAS ALVES"</f>
        <v>JORGE ANTONIO FREITAS ALVES</v>
      </c>
      <c r="C1217" s="4" t="str">
        <f>"ADVOGADO"</f>
        <v>ADVOGADO</v>
      </c>
      <c r="D1217" s="5">
        <v>504</v>
      </c>
      <c r="E1217" s="4" t="str">
        <f>"Funcionário"</f>
        <v>Funcionário</v>
      </c>
    </row>
    <row r="1218" spans="1:5">
      <c r="A1218" s="4" t="str">
        <f t="shared" si="93"/>
        <v>5</v>
      </c>
      <c r="B1218" s="4" t="str">
        <f>"JORGE DOS SANTOS"</f>
        <v>JORGE DOS SANTOS</v>
      </c>
      <c r="C1218" s="4" t="str">
        <f>"OF FERRAMENTARIA INDUSTRIAL"</f>
        <v>OF FERRAMENTARIA INDUSTRIAL</v>
      </c>
      <c r="D1218" s="5">
        <v>500</v>
      </c>
      <c r="E1218" s="4" t="str">
        <f>"Aposentado"</f>
        <v>Aposentado</v>
      </c>
    </row>
    <row r="1219" spans="1:5">
      <c r="A1219" s="4" t="str">
        <f t="shared" si="93"/>
        <v>5</v>
      </c>
      <c r="B1219" s="4" t="str">
        <f>"JORGE DOS SANTOS PEDROSO"</f>
        <v>JORGE DOS SANTOS PEDROSO</v>
      </c>
      <c r="C1219" s="4" t="str">
        <f>"OF FERRAMENTARIA INDUSTRIAL"</f>
        <v>OF FERRAMENTARIA INDUSTRIAL</v>
      </c>
      <c r="D1219" s="5">
        <v>500</v>
      </c>
      <c r="E1219" s="4" t="str">
        <f>"Funcionário"</f>
        <v>Funcionário</v>
      </c>
    </row>
    <row r="1220" spans="1:5">
      <c r="A1220" s="4" t="str">
        <f t="shared" si="93"/>
        <v>5</v>
      </c>
      <c r="B1220" s="4" t="str">
        <f>"JORGE LUIZ MUZZO"</f>
        <v>JORGE LUIZ MUZZO</v>
      </c>
      <c r="C1220" s="4" t="str">
        <f>"AGENTE DE APOIO OPERACIONAL"</f>
        <v>AGENTE DE APOIO OPERACIONAL</v>
      </c>
      <c r="D1220" s="5">
        <v>500</v>
      </c>
      <c r="E1220" s="4" t="str">
        <f>"Funcionário"</f>
        <v>Funcionário</v>
      </c>
    </row>
    <row r="1221" spans="1:5">
      <c r="A1221" s="4" t="str">
        <f t="shared" si="93"/>
        <v>5</v>
      </c>
      <c r="B1221" s="4" t="str">
        <f>"JOSE ADILSON DE OLIVEIRA"</f>
        <v>JOSE ADILSON DE OLIVEIRA</v>
      </c>
      <c r="C1221" s="4" t="str">
        <f t="shared" ref="C1221:C1227" si="94">"OFICIAL DE PRODUCAO INDUSTRIAL"</f>
        <v>OFICIAL DE PRODUCAO INDUSTRIAL</v>
      </c>
      <c r="D1221" s="5">
        <v>500</v>
      </c>
      <c r="E1221" s="4" t="str">
        <f>"Funcionário"</f>
        <v>Funcionário</v>
      </c>
    </row>
    <row r="1222" spans="1:5">
      <c r="A1222" s="4" t="str">
        <f t="shared" si="93"/>
        <v>5</v>
      </c>
      <c r="B1222" s="4" t="str">
        <f>"JOSE AIRTON ROSA CANDIDO"</f>
        <v>JOSE AIRTON ROSA CANDIDO</v>
      </c>
      <c r="C1222" s="4" t="str">
        <f t="shared" si="94"/>
        <v>OFICIAL DE PRODUCAO INDUSTRIAL</v>
      </c>
      <c r="D1222" s="5">
        <v>500</v>
      </c>
      <c r="E1222" s="4" t="str">
        <f>"Aposentado"</f>
        <v>Aposentado</v>
      </c>
    </row>
    <row r="1223" spans="1:5">
      <c r="A1223" s="4" t="str">
        <f t="shared" si="93"/>
        <v>5</v>
      </c>
      <c r="B1223" s="4" t="str">
        <f>"JOSE BATISTA DA SILVA"</f>
        <v>JOSE BATISTA DA SILVA</v>
      </c>
      <c r="C1223" s="4" t="str">
        <f t="shared" si="94"/>
        <v>OFICIAL DE PRODUCAO INDUSTRIAL</v>
      </c>
      <c r="D1223" s="5">
        <v>500</v>
      </c>
      <c r="E1223" s="4" t="str">
        <f>"Aposentado"</f>
        <v>Aposentado</v>
      </c>
    </row>
    <row r="1224" spans="1:5">
      <c r="A1224" s="4" t="str">
        <f t="shared" si="93"/>
        <v>5</v>
      </c>
      <c r="B1224" s="4" t="str">
        <f>"JOSE BENEDITO ALKMIN ASSIS"</f>
        <v>JOSE BENEDITO ALKMIN ASSIS</v>
      </c>
      <c r="C1224" s="4" t="str">
        <f t="shared" si="94"/>
        <v>OFICIAL DE PRODUCAO INDUSTRIAL</v>
      </c>
      <c r="D1224" s="5">
        <v>500</v>
      </c>
      <c r="E1224" s="4" t="str">
        <f>"Aposentado"</f>
        <v>Aposentado</v>
      </c>
    </row>
    <row r="1225" spans="1:5">
      <c r="A1225" s="4" t="str">
        <f t="shared" si="93"/>
        <v>5</v>
      </c>
      <c r="B1225" s="4" t="str">
        <f>"JOSE BENEDITO BARBOSA"</f>
        <v>JOSE BENEDITO BARBOSA</v>
      </c>
      <c r="C1225" s="4" t="str">
        <f t="shared" si="94"/>
        <v>OFICIAL DE PRODUCAO INDUSTRIAL</v>
      </c>
      <c r="D1225" s="5">
        <v>500</v>
      </c>
      <c r="E1225" s="4" t="str">
        <f>"Funcionário"</f>
        <v>Funcionário</v>
      </c>
    </row>
    <row r="1226" spans="1:5">
      <c r="A1226" s="4" t="str">
        <f t="shared" si="93"/>
        <v>5</v>
      </c>
      <c r="B1226" s="4" t="str">
        <f>"JOSE BENEDITO HIGINO"</f>
        <v>JOSE BENEDITO HIGINO</v>
      </c>
      <c r="C1226" s="4" t="str">
        <f t="shared" si="94"/>
        <v>OFICIAL DE PRODUCAO INDUSTRIAL</v>
      </c>
      <c r="D1226" s="5">
        <v>500</v>
      </c>
      <c r="E1226" s="4" t="str">
        <f t="shared" ref="E1226:E1234" si="95">"Aposentado"</f>
        <v>Aposentado</v>
      </c>
    </row>
    <row r="1227" spans="1:5">
      <c r="A1227" s="4" t="str">
        <f t="shared" si="93"/>
        <v>5</v>
      </c>
      <c r="B1227" s="4" t="str">
        <f>"JOSE BENEDITO ROSA"</f>
        <v>JOSE BENEDITO ROSA</v>
      </c>
      <c r="C1227" s="4" t="str">
        <f t="shared" si="94"/>
        <v>OFICIAL DE PRODUCAO INDUSTRIAL</v>
      </c>
      <c r="D1227" s="5">
        <v>500</v>
      </c>
      <c r="E1227" s="4" t="str">
        <f t="shared" si="95"/>
        <v>Aposentado</v>
      </c>
    </row>
    <row r="1228" spans="1:5">
      <c r="A1228" s="4" t="str">
        <f t="shared" si="93"/>
        <v>5</v>
      </c>
      <c r="B1228" s="4" t="str">
        <f>"JOSE BRITO DA SILVA"</f>
        <v>JOSE BRITO DA SILVA</v>
      </c>
      <c r="C1228" s="4" t="str">
        <f>"AGENTE DE APOIO OPERACIONAL"</f>
        <v>AGENTE DE APOIO OPERACIONAL</v>
      </c>
      <c r="D1228" s="5">
        <v>500</v>
      </c>
      <c r="E1228" s="4" t="str">
        <f t="shared" si="95"/>
        <v>Aposentado</v>
      </c>
    </row>
    <row r="1229" spans="1:5">
      <c r="A1229" s="4" t="str">
        <f t="shared" si="93"/>
        <v>5</v>
      </c>
      <c r="B1229" s="4" t="str">
        <f>"JOSE BRITO DA SILVA JUNIOR"</f>
        <v>JOSE BRITO DA SILVA JUNIOR</v>
      </c>
      <c r="C1229" s="4" t="str">
        <f>"AGENTE DE APOIO OPERACIONAL"</f>
        <v>AGENTE DE APOIO OPERACIONAL</v>
      </c>
      <c r="D1229" s="5">
        <v>500</v>
      </c>
      <c r="E1229" s="4" t="str">
        <f t="shared" si="95"/>
        <v>Aposentado</v>
      </c>
    </row>
    <row r="1230" spans="1:5">
      <c r="A1230" s="4" t="str">
        <f t="shared" si="93"/>
        <v>5</v>
      </c>
      <c r="B1230" s="4" t="str">
        <f>"JOSE CARLOS DE CARVALHO"</f>
        <v>JOSE CARLOS DE CARVALHO</v>
      </c>
      <c r="C1230" s="4" t="str">
        <f>"TEC INDUSTRIAL ESPECIALIZADO"</f>
        <v>TEC INDUSTRIAL ESPECIALIZADO</v>
      </c>
      <c r="D1230" s="5">
        <v>500</v>
      </c>
      <c r="E1230" s="4" t="str">
        <f t="shared" si="95"/>
        <v>Aposentado</v>
      </c>
    </row>
    <row r="1231" spans="1:5">
      <c r="A1231" s="4" t="str">
        <f t="shared" si="93"/>
        <v>5</v>
      </c>
      <c r="B1231" s="4" t="str">
        <f>"JOSE CARLOS DE LIMA"</f>
        <v>JOSE CARLOS DE LIMA</v>
      </c>
      <c r="C1231" s="4" t="str">
        <f>"OFICIAL DE PRODUCAO INDUSTRIAL"</f>
        <v>OFICIAL DE PRODUCAO INDUSTRIAL</v>
      </c>
      <c r="D1231" s="5">
        <v>500</v>
      </c>
      <c r="E1231" s="4" t="str">
        <f t="shared" si="95"/>
        <v>Aposentado</v>
      </c>
    </row>
    <row r="1232" spans="1:5">
      <c r="A1232" s="4" t="str">
        <f t="shared" si="93"/>
        <v>5</v>
      </c>
      <c r="B1232" s="4" t="str">
        <f>"JOSE CARLOS JESUINO"</f>
        <v>JOSE CARLOS JESUINO</v>
      </c>
      <c r="C1232" s="4" t="str">
        <f>"OFICIAL DE PRODUCAO INDUSTRIAL"</f>
        <v>OFICIAL DE PRODUCAO INDUSTRIAL</v>
      </c>
      <c r="D1232" s="5">
        <v>500</v>
      </c>
      <c r="E1232" s="4" t="str">
        <f t="shared" si="95"/>
        <v>Aposentado</v>
      </c>
    </row>
    <row r="1233" spans="1:5">
      <c r="A1233" s="4" t="str">
        <f t="shared" si="93"/>
        <v>5</v>
      </c>
      <c r="B1233" s="4" t="str">
        <f>"JOSE CARLOS MIGUEL"</f>
        <v>JOSE CARLOS MIGUEL</v>
      </c>
      <c r="C1233" s="4" t="str">
        <f>"OFICIAL DE PRODUCAO INDUSTRIAL"</f>
        <v>OFICIAL DE PRODUCAO INDUSTRIAL</v>
      </c>
      <c r="D1233" s="5">
        <v>500</v>
      </c>
      <c r="E1233" s="4" t="str">
        <f t="shared" si="95"/>
        <v>Aposentado</v>
      </c>
    </row>
    <row r="1234" spans="1:5">
      <c r="A1234" s="4" t="str">
        <f t="shared" si="93"/>
        <v>5</v>
      </c>
      <c r="B1234" s="4" t="str">
        <f>"JOSE DAVI RIBEIRO"</f>
        <v>JOSE DAVI RIBEIRO</v>
      </c>
      <c r="C1234" s="4" t="str">
        <f>"OFICIAL DE PRODUCAO INDUSTRIAL"</f>
        <v>OFICIAL DE PRODUCAO INDUSTRIAL</v>
      </c>
      <c r="D1234" s="5">
        <v>500</v>
      </c>
      <c r="E1234" s="4" t="str">
        <f t="shared" si="95"/>
        <v>Aposentado</v>
      </c>
    </row>
    <row r="1235" spans="1:5">
      <c r="A1235" s="4" t="str">
        <f t="shared" si="93"/>
        <v>5</v>
      </c>
      <c r="B1235" s="4" t="str">
        <f>"JOSE DONIZETE DA ROSA"</f>
        <v>JOSE DONIZETE DA ROSA</v>
      </c>
      <c r="C1235" s="4" t="str">
        <f>"AGENTE DE APOIO OPERACIONAL"</f>
        <v>AGENTE DE APOIO OPERACIONAL</v>
      </c>
      <c r="D1235" s="5">
        <v>500</v>
      </c>
      <c r="E1235" s="4" t="str">
        <f>"Funcionário"</f>
        <v>Funcionário</v>
      </c>
    </row>
    <row r="1236" spans="1:5">
      <c r="A1236" s="4" t="str">
        <f t="shared" si="93"/>
        <v>5</v>
      </c>
      <c r="B1236" s="4" t="str">
        <f>"JOSE DOS REIS TOLEDO"</f>
        <v>JOSE DOS REIS TOLEDO</v>
      </c>
      <c r="C1236" s="4" t="str">
        <f>"OFICIAL DE PRODUCAO INDUSTRIAL"</f>
        <v>OFICIAL DE PRODUCAO INDUSTRIAL</v>
      </c>
      <c r="D1236" s="5">
        <v>500</v>
      </c>
      <c r="E1236" s="4" t="str">
        <f>"Aposentado"</f>
        <v>Aposentado</v>
      </c>
    </row>
    <row r="1237" spans="1:5">
      <c r="A1237" s="4" t="str">
        <f t="shared" si="93"/>
        <v>5</v>
      </c>
      <c r="B1237" s="4" t="str">
        <f>"JOSE GERALDO DA SILVA"</f>
        <v>JOSE GERALDO DA SILVA</v>
      </c>
      <c r="C1237" s="4" t="str">
        <f>"OFICIAL DE PRODUCAO INDUSTRIAL"</f>
        <v>OFICIAL DE PRODUCAO INDUSTRIAL</v>
      </c>
      <c r="D1237" s="5">
        <v>500</v>
      </c>
      <c r="E1237" s="4" t="str">
        <f>"Funcionário"</f>
        <v>Funcionário</v>
      </c>
    </row>
    <row r="1238" spans="1:5">
      <c r="A1238" s="4" t="str">
        <f t="shared" si="93"/>
        <v>5</v>
      </c>
      <c r="B1238" s="4" t="str">
        <f>"JOSE JAIME DE CAMARGO"</f>
        <v>JOSE JAIME DE CAMARGO</v>
      </c>
      <c r="C1238" s="4" t="str">
        <f>"OFICIAL DE PRODUCAO INDUSTRIAL"</f>
        <v>OFICIAL DE PRODUCAO INDUSTRIAL</v>
      </c>
      <c r="D1238" s="5">
        <v>500</v>
      </c>
      <c r="E1238" s="4" t="str">
        <f>"Aposentado"</f>
        <v>Aposentado</v>
      </c>
    </row>
    <row r="1239" spans="1:5">
      <c r="A1239" s="4" t="str">
        <f t="shared" si="93"/>
        <v>5</v>
      </c>
      <c r="B1239" s="4" t="str">
        <f>"JOSE LUIZ RODRIGUES DOS SANTOS"</f>
        <v>JOSE LUIZ RODRIGUES DOS SANTOS</v>
      </c>
      <c r="C1239" s="4" t="str">
        <f>"OFICIAL DE PRODUCAO INDUSTRIAL"</f>
        <v>OFICIAL DE PRODUCAO INDUSTRIAL</v>
      </c>
      <c r="D1239" s="5">
        <v>500</v>
      </c>
      <c r="E1239" s="4" t="str">
        <f>"Funcionário"</f>
        <v>Funcionário</v>
      </c>
    </row>
    <row r="1240" spans="1:5">
      <c r="A1240" s="4" t="str">
        <f t="shared" si="93"/>
        <v>5</v>
      </c>
      <c r="B1240" s="4" t="str">
        <f>"JOSE MARIA DE FARIA"</f>
        <v>JOSE MARIA DE FARIA</v>
      </c>
      <c r="C1240" s="4" t="str">
        <f>"AGENTE DE APOIO OPERACIONAL"</f>
        <v>AGENTE DE APOIO OPERACIONAL</v>
      </c>
      <c r="D1240" s="5">
        <v>500</v>
      </c>
      <c r="E1240" s="4" t="str">
        <f>"Funcionário"</f>
        <v>Funcionário</v>
      </c>
    </row>
    <row r="1241" spans="1:5">
      <c r="A1241" s="4" t="str">
        <f t="shared" si="93"/>
        <v>5</v>
      </c>
      <c r="B1241" s="4" t="str">
        <f>"JOSE MARIA ESTANISLAU"</f>
        <v>JOSE MARIA ESTANISLAU</v>
      </c>
      <c r="C1241" s="4" t="str">
        <f>"OFICIAL DE PRODUCAO INDUSTRIAL"</f>
        <v>OFICIAL DE PRODUCAO INDUSTRIAL</v>
      </c>
      <c r="D1241" s="5">
        <v>500</v>
      </c>
      <c r="E1241" s="4" t="str">
        <f>"Aposentado"</f>
        <v>Aposentado</v>
      </c>
    </row>
    <row r="1242" spans="1:5">
      <c r="A1242" s="4" t="str">
        <f t="shared" si="93"/>
        <v>5</v>
      </c>
      <c r="B1242" s="4" t="str">
        <f>"JOSE MAURI GUEDES"</f>
        <v>JOSE MAURI GUEDES</v>
      </c>
      <c r="C1242" s="4" t="str">
        <f>"OFICIAL DE PRODUCAO INDUSTRIAL"</f>
        <v>OFICIAL DE PRODUCAO INDUSTRIAL</v>
      </c>
      <c r="D1242" s="5">
        <v>500</v>
      </c>
      <c r="E1242" s="4" t="str">
        <f>"Funcionário"</f>
        <v>Funcionário</v>
      </c>
    </row>
    <row r="1243" spans="1:5">
      <c r="A1243" s="4" t="str">
        <f t="shared" si="93"/>
        <v>5</v>
      </c>
      <c r="B1243" s="4" t="str">
        <f>"JOSE NATO DA SILVA"</f>
        <v>JOSE NATO DA SILVA</v>
      </c>
      <c r="C1243" s="4" t="str">
        <f>"OFICIAL DE PRODUCAO INDUSTRIAL"</f>
        <v>OFICIAL DE PRODUCAO INDUSTRIAL</v>
      </c>
      <c r="D1243" s="5">
        <v>500</v>
      </c>
      <c r="E1243" s="4" t="str">
        <f>"Aposentado"</f>
        <v>Aposentado</v>
      </c>
    </row>
    <row r="1244" spans="1:5">
      <c r="A1244" s="4" t="str">
        <f t="shared" si="93"/>
        <v>5</v>
      </c>
      <c r="B1244" s="4" t="str">
        <f>"JOSE ORLANDO DIAS"</f>
        <v>JOSE ORLANDO DIAS</v>
      </c>
      <c r="C1244" s="4" t="str">
        <f>"OFICIAL DE PRODUCAO INDUSTRIAL"</f>
        <v>OFICIAL DE PRODUCAO INDUSTRIAL</v>
      </c>
      <c r="D1244" s="5">
        <v>500</v>
      </c>
      <c r="E1244" s="4" t="str">
        <f>"Funcionário"</f>
        <v>Funcionário</v>
      </c>
    </row>
    <row r="1245" spans="1:5">
      <c r="A1245" s="4" t="str">
        <f t="shared" si="93"/>
        <v>5</v>
      </c>
      <c r="B1245" s="4" t="str">
        <f>"JOSE RAIMUNDO CORTEZ"</f>
        <v>JOSE RAIMUNDO CORTEZ</v>
      </c>
      <c r="C1245" s="4" t="str">
        <f>"OFICIAL DE PRODUCAO INDUSTRIAL"</f>
        <v>OFICIAL DE PRODUCAO INDUSTRIAL</v>
      </c>
      <c r="D1245" s="5">
        <v>500</v>
      </c>
      <c r="E1245" s="4" t="str">
        <f>"Aposentado"</f>
        <v>Aposentado</v>
      </c>
    </row>
    <row r="1246" spans="1:5">
      <c r="A1246" s="4" t="str">
        <f t="shared" si="93"/>
        <v>5</v>
      </c>
      <c r="B1246" s="4" t="str">
        <f>"JOSE RICARDO DE SOUZA"</f>
        <v>JOSE RICARDO DE SOUZA</v>
      </c>
      <c r="C1246" s="4" t="str">
        <f>"TEC INDUSTRIAL ESPECIALIZADO"</f>
        <v>TEC INDUSTRIAL ESPECIALIZADO</v>
      </c>
      <c r="D1246" s="5">
        <v>500</v>
      </c>
      <c r="E1246" s="4" t="str">
        <f>"Funcionário"</f>
        <v>Funcionário</v>
      </c>
    </row>
    <row r="1247" spans="1:5">
      <c r="A1247" s="4" t="str">
        <f t="shared" si="93"/>
        <v>5</v>
      </c>
      <c r="B1247" s="4" t="str">
        <f>"JOSE ROBERTO ASSIS"</f>
        <v>JOSE ROBERTO ASSIS</v>
      </c>
      <c r="C1247" s="4" t="str">
        <f>"OFICIAL DE PRODUCAO INDUSTRIAL"</f>
        <v>OFICIAL DE PRODUCAO INDUSTRIAL</v>
      </c>
      <c r="D1247" s="5">
        <v>500</v>
      </c>
      <c r="E1247" s="4" t="str">
        <f>"Aposentado"</f>
        <v>Aposentado</v>
      </c>
    </row>
    <row r="1248" spans="1:5">
      <c r="A1248" s="4" t="str">
        <f t="shared" si="93"/>
        <v>5</v>
      </c>
      <c r="B1248" s="4" t="str">
        <f>"JOSE ROBERTO FERREIRA"</f>
        <v>JOSE ROBERTO FERREIRA</v>
      </c>
      <c r="C1248" s="4" t="str">
        <f>"TEC INDUSTRIAL ESPECIALIZADO"</f>
        <v>TEC INDUSTRIAL ESPECIALIZADO</v>
      </c>
      <c r="D1248" s="5">
        <v>500</v>
      </c>
      <c r="E1248" s="4" t="str">
        <f>"Aposentado"</f>
        <v>Aposentado</v>
      </c>
    </row>
    <row r="1249" spans="1:5">
      <c r="A1249" s="4" t="str">
        <f t="shared" si="93"/>
        <v>5</v>
      </c>
      <c r="B1249" s="4" t="str">
        <f>"JOSE SERAFIM NETO"</f>
        <v>JOSE SERAFIM NETO</v>
      </c>
      <c r="C1249" s="4" t="str">
        <f t="shared" ref="C1249:C1255" si="96">"OFICIAL DE PRODUCAO INDUSTRIAL"</f>
        <v>OFICIAL DE PRODUCAO INDUSTRIAL</v>
      </c>
      <c r="D1249" s="5">
        <v>500</v>
      </c>
      <c r="E1249" s="4" t="str">
        <f>"Aposentado"</f>
        <v>Aposentado</v>
      </c>
    </row>
    <row r="1250" spans="1:5">
      <c r="A1250" s="4" t="str">
        <f t="shared" si="93"/>
        <v>5</v>
      </c>
      <c r="B1250" s="4" t="str">
        <f>"JOSE SERGIO DE FARIA"</f>
        <v>JOSE SERGIO DE FARIA</v>
      </c>
      <c r="C1250" s="4" t="str">
        <f t="shared" si="96"/>
        <v>OFICIAL DE PRODUCAO INDUSTRIAL</v>
      </c>
      <c r="D1250" s="5">
        <v>500</v>
      </c>
      <c r="E1250" s="4" t="str">
        <f>"Aposentado"</f>
        <v>Aposentado</v>
      </c>
    </row>
    <row r="1251" spans="1:5">
      <c r="A1251" s="4" t="str">
        <f t="shared" si="93"/>
        <v>5</v>
      </c>
      <c r="B1251" s="4" t="str">
        <f>"JOSE VALDECI DOS SANTOS"</f>
        <v>JOSE VALDECI DOS SANTOS</v>
      </c>
      <c r="C1251" s="4" t="str">
        <f t="shared" si="96"/>
        <v>OFICIAL DE PRODUCAO INDUSTRIAL</v>
      </c>
      <c r="D1251" s="5">
        <v>500</v>
      </c>
      <c r="E1251" s="4" t="str">
        <f>"Aposentado"</f>
        <v>Aposentado</v>
      </c>
    </row>
    <row r="1252" spans="1:5">
      <c r="A1252" s="4" t="str">
        <f t="shared" si="93"/>
        <v>5</v>
      </c>
      <c r="B1252" s="4" t="str">
        <f>"JOSIANE FABIOLA PEREIRA"</f>
        <v>JOSIANE FABIOLA PEREIRA</v>
      </c>
      <c r="C1252" s="4" t="str">
        <f t="shared" si="96"/>
        <v>OFICIAL DE PRODUCAO INDUSTRIAL</v>
      </c>
      <c r="D1252" s="5">
        <v>500</v>
      </c>
      <c r="E1252" s="4" t="str">
        <f>"Funcionário"</f>
        <v>Funcionário</v>
      </c>
    </row>
    <row r="1253" spans="1:5">
      <c r="A1253" s="4" t="str">
        <f t="shared" si="93"/>
        <v>5</v>
      </c>
      <c r="B1253" s="4" t="str">
        <f>"JOSIAS DOS PASSOS"</f>
        <v>JOSIAS DOS PASSOS</v>
      </c>
      <c r="C1253" s="4" t="str">
        <f t="shared" si="96"/>
        <v>OFICIAL DE PRODUCAO INDUSTRIAL</v>
      </c>
      <c r="D1253" s="5">
        <v>500</v>
      </c>
      <c r="E1253" s="4" t="str">
        <f>"Aposentado"</f>
        <v>Aposentado</v>
      </c>
    </row>
    <row r="1254" spans="1:5">
      <c r="A1254" s="4" t="str">
        <f t="shared" si="93"/>
        <v>5</v>
      </c>
      <c r="B1254" s="4" t="str">
        <f>"JOSMAR GERALDO DA SILVA"</f>
        <v>JOSMAR GERALDO DA SILVA</v>
      </c>
      <c r="C1254" s="4" t="str">
        <f t="shared" si="96"/>
        <v>OFICIAL DE PRODUCAO INDUSTRIAL</v>
      </c>
      <c r="D1254" s="5">
        <v>500</v>
      </c>
      <c r="E1254" s="4" t="str">
        <f>"Funcionário"</f>
        <v>Funcionário</v>
      </c>
    </row>
    <row r="1255" spans="1:5">
      <c r="A1255" s="4" t="str">
        <f t="shared" si="93"/>
        <v>5</v>
      </c>
      <c r="B1255" s="4" t="str">
        <f>"JOVANA APARECIDA DOS REIS TOLEDO"</f>
        <v>JOVANA APARECIDA DOS REIS TOLEDO</v>
      </c>
      <c r="C1255" s="4" t="str">
        <f t="shared" si="96"/>
        <v>OFICIAL DE PRODUCAO INDUSTRIAL</v>
      </c>
      <c r="D1255" s="5">
        <v>500</v>
      </c>
      <c r="E1255" s="4" t="str">
        <f>"Funcionário"</f>
        <v>Funcionário</v>
      </c>
    </row>
    <row r="1256" spans="1:5">
      <c r="A1256" s="4" t="str">
        <f t="shared" si="93"/>
        <v>5</v>
      </c>
      <c r="B1256" s="4" t="str">
        <f>"JOVANA GONÇALVES DA SILVA"</f>
        <v>JOVANA GONÇALVES DA SILVA</v>
      </c>
      <c r="C1256" s="4" t="str">
        <f>"APRENDIZ- PRODUÇÃO"</f>
        <v>APRENDIZ- PRODUÇÃO</v>
      </c>
      <c r="D1256" s="5">
        <v>503</v>
      </c>
      <c r="E1256" s="4" t="str">
        <f>"Aprendiz"</f>
        <v>Aprendiz</v>
      </c>
    </row>
    <row r="1257" spans="1:5">
      <c r="A1257" s="4" t="str">
        <f t="shared" si="93"/>
        <v>5</v>
      </c>
      <c r="B1257" s="4" t="str">
        <f>"JUCILENE DE VILAS BOAS SANTANA"</f>
        <v>JUCILENE DE VILAS BOAS SANTANA</v>
      </c>
      <c r="C1257" s="4" t="str">
        <f>"TECNICO ADM ESPECIALIZADO"</f>
        <v>TECNICO ADM ESPECIALIZADO</v>
      </c>
      <c r="D1257" s="5">
        <v>500</v>
      </c>
      <c r="E1257" s="4" t="str">
        <f t="shared" ref="E1257:E1265" si="97">"Funcionário"</f>
        <v>Funcionário</v>
      </c>
    </row>
    <row r="1258" spans="1:5">
      <c r="A1258" s="4" t="str">
        <f t="shared" ref="A1258:A1321" si="98">"5"</f>
        <v>5</v>
      </c>
      <c r="B1258" s="4" t="str">
        <f>"JUCIMARA REGINA PEREIRA"</f>
        <v>JUCIMARA REGINA PEREIRA</v>
      </c>
      <c r="C1258" s="4" t="str">
        <f>"AUXILIAR TECNICO INDUSTRIAL"</f>
        <v>AUXILIAR TECNICO INDUSTRIAL</v>
      </c>
      <c r="D1258" s="5">
        <v>500</v>
      </c>
      <c r="E1258" s="4" t="str">
        <f t="shared" si="97"/>
        <v>Funcionário</v>
      </c>
    </row>
    <row r="1259" spans="1:5">
      <c r="A1259" s="4" t="str">
        <f t="shared" si="98"/>
        <v>5</v>
      </c>
      <c r="B1259" s="4" t="str">
        <f>"JULIANA CRISTINA RANGEL"</f>
        <v>JULIANA CRISTINA RANGEL</v>
      </c>
      <c r="C1259" s="4" t="str">
        <f>"OFICIAL DE PRODUCAO INDUSTRIAL"</f>
        <v>OFICIAL DE PRODUCAO INDUSTRIAL</v>
      </c>
      <c r="D1259" s="5">
        <v>500</v>
      </c>
      <c r="E1259" s="4" t="str">
        <f t="shared" si="97"/>
        <v>Funcionário</v>
      </c>
    </row>
    <row r="1260" spans="1:5">
      <c r="A1260" s="4" t="str">
        <f t="shared" si="98"/>
        <v>5</v>
      </c>
      <c r="B1260" s="4" t="str">
        <f>"JULIO CESAR CYRINO"</f>
        <v>JULIO CESAR CYRINO</v>
      </c>
      <c r="C1260" s="4" t="str">
        <f>"OFICIAL DE PRODUCAO INDUSTRIAL"</f>
        <v>OFICIAL DE PRODUCAO INDUSTRIAL</v>
      </c>
      <c r="D1260" s="5">
        <v>500</v>
      </c>
      <c r="E1260" s="4" t="str">
        <f t="shared" si="97"/>
        <v>Funcionário</v>
      </c>
    </row>
    <row r="1261" spans="1:5">
      <c r="A1261" s="4" t="str">
        <f t="shared" si="98"/>
        <v>5</v>
      </c>
      <c r="B1261" s="4" t="str">
        <f>"JULIO CESAR DA SILVA"</f>
        <v>JULIO CESAR DA SILVA</v>
      </c>
      <c r="C1261" s="4" t="str">
        <f>"ASSESSOR ESPECIAL II"</f>
        <v>ASSESSOR ESPECIAL II</v>
      </c>
      <c r="D1261" s="5">
        <v>501</v>
      </c>
      <c r="E1261" s="4" t="str">
        <f t="shared" si="97"/>
        <v>Funcionário</v>
      </c>
    </row>
    <row r="1262" spans="1:5">
      <c r="A1262" s="4" t="str">
        <f t="shared" si="98"/>
        <v>5</v>
      </c>
      <c r="B1262" s="4" t="str">
        <f>"JULIO CESAR MODENA"</f>
        <v>JULIO CESAR MODENA</v>
      </c>
      <c r="C1262" s="4" t="str">
        <f>"CHEFE DE DIVISAO III"</f>
        <v>CHEFE DE DIVISAO III</v>
      </c>
      <c r="D1262" s="5">
        <v>501</v>
      </c>
      <c r="E1262" s="4" t="str">
        <f t="shared" si="97"/>
        <v>Funcionário</v>
      </c>
    </row>
    <row r="1263" spans="1:5">
      <c r="A1263" s="4" t="str">
        <f t="shared" si="98"/>
        <v>5</v>
      </c>
      <c r="B1263" s="4" t="str">
        <f>"JULIO CESAR RIBEIRO"</f>
        <v>JULIO CESAR RIBEIRO</v>
      </c>
      <c r="C1263" s="4" t="str">
        <f>"OPER PRODUCAO III"</f>
        <v>OPER PRODUCAO III</v>
      </c>
      <c r="D1263" s="5">
        <v>500</v>
      </c>
      <c r="E1263" s="4" t="str">
        <f t="shared" si="97"/>
        <v>Funcionário</v>
      </c>
    </row>
    <row r="1264" spans="1:5">
      <c r="A1264" s="4" t="str">
        <f t="shared" si="98"/>
        <v>5</v>
      </c>
      <c r="B1264" s="4" t="str">
        <f>"JULYA LOPES DA SILVA"</f>
        <v>JULYA LOPES DA SILVA</v>
      </c>
      <c r="C1264" s="4" t="str">
        <f>"AUX TECNICO ADMINISTRATIVO"</f>
        <v>AUX TECNICO ADMINISTRATIVO</v>
      </c>
      <c r="D1264" s="5">
        <v>500</v>
      </c>
      <c r="E1264" s="4" t="str">
        <f t="shared" si="97"/>
        <v>Funcionário</v>
      </c>
    </row>
    <row r="1265" spans="1:5">
      <c r="A1265" s="4" t="str">
        <f t="shared" si="98"/>
        <v>5</v>
      </c>
      <c r="B1265" s="4" t="str">
        <f>"JUMARA DA COSTA NOGUEIRA"</f>
        <v>JUMARA DA COSTA NOGUEIRA</v>
      </c>
      <c r="C1265" s="4" t="str">
        <f>"OFICIAL DE PRODUCAO INDUSTRIAL"</f>
        <v>OFICIAL DE PRODUCAO INDUSTRIAL</v>
      </c>
      <c r="D1265" s="5">
        <v>500</v>
      </c>
      <c r="E1265" s="4" t="str">
        <f t="shared" si="97"/>
        <v>Funcionário</v>
      </c>
    </row>
    <row r="1266" spans="1:5">
      <c r="A1266" s="4" t="str">
        <f t="shared" si="98"/>
        <v>5</v>
      </c>
      <c r="B1266" s="4" t="str">
        <f>"KAIKY CARVALHO AZEVEDO"</f>
        <v>KAIKY CARVALHO AZEVEDO</v>
      </c>
      <c r="C1266" s="4" t="str">
        <f>"APRENDIZ- PRODUÇÃO"</f>
        <v>APRENDIZ- PRODUÇÃO</v>
      </c>
      <c r="D1266" s="5">
        <v>503</v>
      </c>
      <c r="E1266" s="4" t="str">
        <f>"Aprendiz"</f>
        <v>Aprendiz</v>
      </c>
    </row>
    <row r="1267" spans="1:5">
      <c r="A1267" s="4" t="str">
        <f t="shared" si="98"/>
        <v>5</v>
      </c>
      <c r="B1267" s="4" t="str">
        <f>"KARINE ALGA DOS SANTOS MARQUES"</f>
        <v>KARINE ALGA DOS SANTOS MARQUES</v>
      </c>
      <c r="C1267" s="4" t="str">
        <f>"TEC INDUSTRIAL ESPECIALIZADO"</f>
        <v>TEC INDUSTRIAL ESPECIALIZADO</v>
      </c>
      <c r="D1267" s="5">
        <v>500</v>
      </c>
      <c r="E1267" s="4" t="str">
        <f t="shared" ref="E1267:E1272" si="99">"Funcionário"</f>
        <v>Funcionário</v>
      </c>
    </row>
    <row r="1268" spans="1:5">
      <c r="A1268" s="4" t="str">
        <f t="shared" si="98"/>
        <v>5</v>
      </c>
      <c r="B1268" s="4" t="str">
        <f>"KARLA GRAZIELLE MARTINS DE CARVALHO PERE"</f>
        <v>KARLA GRAZIELLE MARTINS DE CARVALHO PERE</v>
      </c>
      <c r="C1268" s="4" t="str">
        <f>"OFICIAL DE PRODUCAO INDUSTRIAL"</f>
        <v>OFICIAL DE PRODUCAO INDUSTRIAL</v>
      </c>
      <c r="D1268" s="5">
        <v>500</v>
      </c>
      <c r="E1268" s="4" t="str">
        <f t="shared" si="99"/>
        <v>Funcionário</v>
      </c>
    </row>
    <row r="1269" spans="1:5">
      <c r="A1269" s="4" t="str">
        <f t="shared" si="98"/>
        <v>5</v>
      </c>
      <c r="B1269" s="4" t="str">
        <f>"KATIA ALKMIM PEREIRA DOS SANTOS"</f>
        <v>KATIA ALKMIM PEREIRA DOS SANTOS</v>
      </c>
      <c r="C1269" s="4" t="str">
        <f>"TECNICO ADM ESPECIALIZADO"</f>
        <v>TECNICO ADM ESPECIALIZADO</v>
      </c>
      <c r="D1269" s="5">
        <v>500</v>
      </c>
      <c r="E1269" s="4" t="str">
        <f t="shared" si="99"/>
        <v>Funcionário</v>
      </c>
    </row>
    <row r="1270" spans="1:5">
      <c r="A1270" s="4" t="str">
        <f t="shared" si="98"/>
        <v>5</v>
      </c>
      <c r="B1270" s="4" t="str">
        <f>"KAUE CASSIANO DE LIMA"</f>
        <v>KAUE CASSIANO DE LIMA</v>
      </c>
      <c r="C1270" s="4" t="str">
        <f>"AGENTE DE APOIO OPERACIONAL"</f>
        <v>AGENTE DE APOIO OPERACIONAL</v>
      </c>
      <c r="D1270" s="5">
        <v>500</v>
      </c>
      <c r="E1270" s="4" t="str">
        <f t="shared" si="99"/>
        <v>Funcionário</v>
      </c>
    </row>
    <row r="1271" spans="1:5">
      <c r="A1271" s="4" t="str">
        <f t="shared" si="98"/>
        <v>5</v>
      </c>
      <c r="B1271" s="4" t="str">
        <f>"KELI APARECIDA MACHADO"</f>
        <v>KELI APARECIDA MACHADO</v>
      </c>
      <c r="C1271" s="4" t="str">
        <f>"OFICIAL DE PRODUCAO INDUSTRIAL"</f>
        <v>OFICIAL DE PRODUCAO INDUSTRIAL</v>
      </c>
      <c r="D1271" s="5">
        <v>500</v>
      </c>
      <c r="E1271" s="4" t="str">
        <f t="shared" si="99"/>
        <v>Funcionário</v>
      </c>
    </row>
    <row r="1272" spans="1:5">
      <c r="A1272" s="4" t="str">
        <f t="shared" si="98"/>
        <v>5</v>
      </c>
      <c r="B1272" s="4" t="str">
        <f>"KLEBER DA SILVA LEAL"</f>
        <v>KLEBER DA SILVA LEAL</v>
      </c>
      <c r="C1272" s="4" t="str">
        <f>"AUX TECNICO ADMINISTRATIVO"</f>
        <v>AUX TECNICO ADMINISTRATIVO</v>
      </c>
      <c r="D1272" s="5">
        <v>500</v>
      </c>
      <c r="E1272" s="4" t="str">
        <f t="shared" si="99"/>
        <v>Funcionário</v>
      </c>
    </row>
    <row r="1273" spans="1:5">
      <c r="A1273" s="4" t="str">
        <f t="shared" si="98"/>
        <v>5</v>
      </c>
      <c r="B1273" s="4" t="str">
        <f>"KLEBER TEIXEIRA SOUTO"</f>
        <v>KLEBER TEIXEIRA SOUTO</v>
      </c>
      <c r="C1273" s="4" t="str">
        <f>"OFICIAL DE PRODUCAO INDUSTRIAL"</f>
        <v>OFICIAL DE PRODUCAO INDUSTRIAL</v>
      </c>
      <c r="D1273" s="5">
        <v>500</v>
      </c>
      <c r="E1273" s="4" t="str">
        <f>"Aposentado"</f>
        <v>Aposentado</v>
      </c>
    </row>
    <row r="1274" spans="1:5">
      <c r="A1274" s="4" t="str">
        <f t="shared" si="98"/>
        <v>5</v>
      </c>
      <c r="B1274" s="4" t="str">
        <f>"LAERCIO RAIMUNDO SILVA"</f>
        <v>LAERCIO RAIMUNDO SILVA</v>
      </c>
      <c r="C1274" s="4" t="str">
        <f>"OPER PRODUCAO III"</f>
        <v>OPER PRODUCAO III</v>
      </c>
      <c r="D1274" s="5">
        <v>500</v>
      </c>
      <c r="E1274" s="4" t="str">
        <f>"Funcionário"</f>
        <v>Funcionário</v>
      </c>
    </row>
    <row r="1275" spans="1:5">
      <c r="A1275" s="4" t="str">
        <f t="shared" si="98"/>
        <v>5</v>
      </c>
      <c r="B1275" s="4" t="str">
        <f>"LAIU BERALDO"</f>
        <v>LAIU BERALDO</v>
      </c>
      <c r="C1275" s="4" t="str">
        <f>"OFICIAL DE PRODUCAO INDUSTRIAL"</f>
        <v>OFICIAL DE PRODUCAO INDUSTRIAL</v>
      </c>
      <c r="D1275" s="5">
        <v>500</v>
      </c>
      <c r="E1275" s="4" t="str">
        <f>"Funcionário"</f>
        <v>Funcionário</v>
      </c>
    </row>
    <row r="1276" spans="1:5">
      <c r="A1276" s="4" t="str">
        <f t="shared" si="98"/>
        <v>5</v>
      </c>
      <c r="B1276" s="4" t="str">
        <f>"LAUDELINA APARECIDA DA SILVA"</f>
        <v>LAUDELINA APARECIDA DA SILVA</v>
      </c>
      <c r="C1276" s="4" t="str">
        <f>"AUX TECNICO ADMINISTRATIVO"</f>
        <v>AUX TECNICO ADMINISTRATIVO</v>
      </c>
      <c r="D1276" s="5">
        <v>500</v>
      </c>
      <c r="E1276" s="4" t="str">
        <f>"Funcionário"</f>
        <v>Funcionário</v>
      </c>
    </row>
    <row r="1277" spans="1:5">
      <c r="A1277" s="4" t="str">
        <f t="shared" si="98"/>
        <v>5</v>
      </c>
      <c r="B1277" s="4" t="str">
        <f>"LAUDEMIR GONCALVES"</f>
        <v>LAUDEMIR GONCALVES</v>
      </c>
      <c r="C1277" s="4" t="str">
        <f>"OFICIAL DE PRODUCAO INDUSTRIAL"</f>
        <v>OFICIAL DE PRODUCAO INDUSTRIAL</v>
      </c>
      <c r="D1277" s="5">
        <v>500</v>
      </c>
      <c r="E1277" s="4" t="str">
        <f>"Aposentado"</f>
        <v>Aposentado</v>
      </c>
    </row>
    <row r="1278" spans="1:5">
      <c r="A1278" s="4" t="str">
        <f t="shared" si="98"/>
        <v>5</v>
      </c>
      <c r="B1278" s="4" t="str">
        <f>"LAURA BARCELLOS FERRAZ"</f>
        <v>LAURA BARCELLOS FERRAZ</v>
      </c>
      <c r="C1278" s="4" t="str">
        <f>"ESPECIALISTA"</f>
        <v>ESPECIALISTA</v>
      </c>
      <c r="D1278" s="5">
        <v>500</v>
      </c>
      <c r="E1278" s="4" t="str">
        <f>"Funcionário"</f>
        <v>Funcionário</v>
      </c>
    </row>
    <row r="1279" spans="1:5">
      <c r="A1279" s="4" t="str">
        <f t="shared" si="98"/>
        <v>5</v>
      </c>
      <c r="B1279" s="4" t="str">
        <f>"LAURO DOS SANTOS"</f>
        <v>LAURO DOS SANTOS</v>
      </c>
      <c r="C1279" s="4" t="str">
        <f>"OFICIAL DE PRODUCAO INDUSTRIAL"</f>
        <v>OFICIAL DE PRODUCAO INDUSTRIAL</v>
      </c>
      <c r="D1279" s="5">
        <v>500</v>
      </c>
      <c r="E1279" s="4" t="str">
        <f>"Funcionário"</f>
        <v>Funcionário</v>
      </c>
    </row>
    <row r="1280" spans="1:5">
      <c r="A1280" s="4" t="str">
        <f t="shared" si="98"/>
        <v>5</v>
      </c>
      <c r="B1280" s="4" t="str">
        <f>"LAVINIA RIBEIRO BARBATO"</f>
        <v>LAVINIA RIBEIRO BARBATO</v>
      </c>
      <c r="C1280" s="4" t="str">
        <f>"APRENDIZ- PRODUÇÃO"</f>
        <v>APRENDIZ- PRODUÇÃO</v>
      </c>
      <c r="D1280" s="5">
        <v>503</v>
      </c>
      <c r="E1280" s="4" t="str">
        <f>"Aprendiz"</f>
        <v>Aprendiz</v>
      </c>
    </row>
    <row r="1281" spans="1:5">
      <c r="A1281" s="4" t="str">
        <f t="shared" si="98"/>
        <v>5</v>
      </c>
      <c r="B1281" s="4" t="str">
        <f>"LAVYNIA APARECIDA DA SILVA"</f>
        <v>LAVYNIA APARECIDA DA SILVA</v>
      </c>
      <c r="C1281" s="4" t="str">
        <f>"APRENDIZ- PRODUÇÃO"</f>
        <v>APRENDIZ- PRODUÇÃO</v>
      </c>
      <c r="D1281" s="5">
        <v>503</v>
      </c>
      <c r="E1281" s="4" t="str">
        <f>"Aprendiz"</f>
        <v>Aprendiz</v>
      </c>
    </row>
    <row r="1282" spans="1:5">
      <c r="A1282" s="4" t="str">
        <f t="shared" si="98"/>
        <v>5</v>
      </c>
      <c r="B1282" s="4" t="str">
        <f>"LEANDRO CORREA VILAS BOAS"</f>
        <v>LEANDRO CORREA VILAS BOAS</v>
      </c>
      <c r="C1282" s="4" t="str">
        <f>"TEC INDUSTRIAL ESPECIALIZADO"</f>
        <v>TEC INDUSTRIAL ESPECIALIZADO</v>
      </c>
      <c r="D1282" s="5">
        <v>500</v>
      </c>
      <c r="E1282" s="4" t="str">
        <f t="shared" ref="E1282:E1288" si="100">"Funcionário"</f>
        <v>Funcionário</v>
      </c>
    </row>
    <row r="1283" spans="1:5">
      <c r="A1283" s="4" t="str">
        <f t="shared" si="98"/>
        <v>5</v>
      </c>
      <c r="B1283" s="4" t="str">
        <f>"LEANDRO CUSTODIO"</f>
        <v>LEANDRO CUSTODIO</v>
      </c>
      <c r="C1283" s="4" t="str">
        <f>"OFICIAL DE PRODUCAO INDUSTRIAL"</f>
        <v>OFICIAL DE PRODUCAO INDUSTRIAL</v>
      </c>
      <c r="D1283" s="5">
        <v>500</v>
      </c>
      <c r="E1283" s="4" t="str">
        <f t="shared" si="100"/>
        <v>Funcionário</v>
      </c>
    </row>
    <row r="1284" spans="1:5">
      <c r="A1284" s="4" t="str">
        <f t="shared" si="98"/>
        <v>5</v>
      </c>
      <c r="B1284" s="4" t="str">
        <f>"LEANDRO LEONEL PEREIRA"</f>
        <v>LEANDRO LEONEL PEREIRA</v>
      </c>
      <c r="C1284" s="4" t="str">
        <f>"TECNICO ADM ESPECIALIZADO"</f>
        <v>TECNICO ADM ESPECIALIZADO</v>
      </c>
      <c r="D1284" s="5">
        <v>500</v>
      </c>
      <c r="E1284" s="4" t="str">
        <f t="shared" si="100"/>
        <v>Funcionário</v>
      </c>
    </row>
    <row r="1285" spans="1:5">
      <c r="A1285" s="4" t="str">
        <f t="shared" si="98"/>
        <v>5</v>
      </c>
      <c r="B1285" s="4" t="str">
        <f>"LEANDRO NATALINO RIBEIRO"</f>
        <v>LEANDRO NATALINO RIBEIRO</v>
      </c>
      <c r="C1285" s="4" t="str">
        <f>"OFICIAL DE PRODUCAO INDUSTRIAL"</f>
        <v>OFICIAL DE PRODUCAO INDUSTRIAL</v>
      </c>
      <c r="D1285" s="5">
        <v>500</v>
      </c>
      <c r="E1285" s="4" t="str">
        <f t="shared" si="100"/>
        <v>Funcionário</v>
      </c>
    </row>
    <row r="1286" spans="1:5">
      <c r="A1286" s="4" t="str">
        <f t="shared" si="98"/>
        <v>5</v>
      </c>
      <c r="B1286" s="4" t="str">
        <f>"LEANDRO RIBEIRO"</f>
        <v>LEANDRO RIBEIRO</v>
      </c>
      <c r="C1286" s="4" t="str">
        <f>"AGENTE DE APOIO OPERACIONAL"</f>
        <v>AGENTE DE APOIO OPERACIONAL</v>
      </c>
      <c r="D1286" s="5">
        <v>500</v>
      </c>
      <c r="E1286" s="4" t="str">
        <f t="shared" si="100"/>
        <v>Funcionário</v>
      </c>
    </row>
    <row r="1287" spans="1:5">
      <c r="A1287" s="4" t="str">
        <f t="shared" si="98"/>
        <v>5</v>
      </c>
      <c r="B1287" s="4" t="str">
        <f>"LEANDRO SEBASTIAO INOCENCIO"</f>
        <v>LEANDRO SEBASTIAO INOCENCIO</v>
      </c>
      <c r="C1287" s="4" t="str">
        <f>"OFICIAL DE PRODUCAO INDUSTRIAL"</f>
        <v>OFICIAL DE PRODUCAO INDUSTRIAL</v>
      </c>
      <c r="D1287" s="5">
        <v>500</v>
      </c>
      <c r="E1287" s="4" t="str">
        <f t="shared" si="100"/>
        <v>Funcionário</v>
      </c>
    </row>
    <row r="1288" spans="1:5">
      <c r="A1288" s="4" t="str">
        <f t="shared" si="98"/>
        <v>5</v>
      </c>
      <c r="B1288" s="4" t="str">
        <f>"LEMUEL LEHI RIBEIRO"</f>
        <v>LEMUEL LEHI RIBEIRO</v>
      </c>
      <c r="C1288" s="4" t="str">
        <f>"OFICIAL DE PRODUCAO INDUSTRIAL"</f>
        <v>OFICIAL DE PRODUCAO INDUSTRIAL</v>
      </c>
      <c r="D1288" s="5">
        <v>500</v>
      </c>
      <c r="E1288" s="4" t="str">
        <f t="shared" si="100"/>
        <v>Funcionário</v>
      </c>
    </row>
    <row r="1289" spans="1:5">
      <c r="A1289" s="4" t="str">
        <f t="shared" si="98"/>
        <v>5</v>
      </c>
      <c r="B1289" s="4" t="str">
        <f>"LENNY FRANKLIN DE CASTRO"</f>
        <v>LENNY FRANKLIN DE CASTRO</v>
      </c>
      <c r="C1289" s="4" t="str">
        <f>"APRENDIZ- PRODUÇÃO"</f>
        <v>APRENDIZ- PRODUÇÃO</v>
      </c>
      <c r="D1289" s="5">
        <v>503</v>
      </c>
      <c r="E1289" s="4" t="str">
        <f>"Aprendiz"</f>
        <v>Aprendiz</v>
      </c>
    </row>
    <row r="1290" spans="1:5">
      <c r="A1290" s="4" t="str">
        <f t="shared" si="98"/>
        <v>5</v>
      </c>
      <c r="B1290" s="4" t="str">
        <f>"LENOIR RIBEIRO"</f>
        <v>LENOIR RIBEIRO</v>
      </c>
      <c r="C1290" s="4" t="str">
        <f>"TECNICO INDUSTRIAL ESPECIALIZADO"</f>
        <v>TECNICO INDUSTRIAL ESPECIALIZADO</v>
      </c>
      <c r="D1290" s="5">
        <v>500</v>
      </c>
      <c r="E1290" s="4" t="str">
        <f t="shared" ref="E1290:E1298" si="101">"Funcionário"</f>
        <v>Funcionário</v>
      </c>
    </row>
    <row r="1291" spans="1:5">
      <c r="A1291" s="4" t="str">
        <f t="shared" si="98"/>
        <v>5</v>
      </c>
      <c r="B1291" s="4" t="str">
        <f>"LEONARDO DIEGO SILVA MONTEIRO"</f>
        <v>LEONARDO DIEGO SILVA MONTEIRO</v>
      </c>
      <c r="C1291" s="4" t="str">
        <f>"OFICIAL DE PRODUCAO INDUSTRIAL"</f>
        <v>OFICIAL DE PRODUCAO INDUSTRIAL</v>
      </c>
      <c r="D1291" s="5">
        <v>500</v>
      </c>
      <c r="E1291" s="4" t="str">
        <f t="shared" si="101"/>
        <v>Funcionário</v>
      </c>
    </row>
    <row r="1292" spans="1:5">
      <c r="A1292" s="4" t="str">
        <f t="shared" si="98"/>
        <v>5</v>
      </c>
      <c r="B1292" s="4" t="str">
        <f>"LESLY VANNER DE LA CRUZ CARDOSO"</f>
        <v>LESLY VANNER DE LA CRUZ CARDOSO</v>
      </c>
      <c r="C1292" s="4" t="str">
        <f>"TEC INDUSTRIAL ESPECIALIZADO"</f>
        <v>TEC INDUSTRIAL ESPECIALIZADO</v>
      </c>
      <c r="D1292" s="5">
        <v>500</v>
      </c>
      <c r="E1292" s="4" t="str">
        <f t="shared" si="101"/>
        <v>Funcionário</v>
      </c>
    </row>
    <row r="1293" spans="1:5">
      <c r="A1293" s="4" t="str">
        <f t="shared" si="98"/>
        <v>5</v>
      </c>
      <c r="B1293" s="4" t="str">
        <f>"LILIAN CRISTINA DA SILVEIRA"</f>
        <v>LILIAN CRISTINA DA SILVEIRA</v>
      </c>
      <c r="C1293" s="4" t="str">
        <f>"ESPECIALISTA"</f>
        <v>ESPECIALISTA</v>
      </c>
      <c r="D1293" s="5">
        <v>500</v>
      </c>
      <c r="E1293" s="4" t="str">
        <f t="shared" si="101"/>
        <v>Funcionário</v>
      </c>
    </row>
    <row r="1294" spans="1:5">
      <c r="A1294" s="4" t="str">
        <f t="shared" si="98"/>
        <v>5</v>
      </c>
      <c r="B1294" s="4" t="str">
        <f>"LILIAN MARIA RODRIGUES PRUDENTE"</f>
        <v>LILIAN MARIA RODRIGUES PRUDENTE</v>
      </c>
      <c r="C1294" s="4" t="str">
        <f>"OFICIAL DE PRODUCAO INDUSTRIAL"</f>
        <v>OFICIAL DE PRODUCAO INDUSTRIAL</v>
      </c>
      <c r="D1294" s="5">
        <v>500</v>
      </c>
      <c r="E1294" s="4" t="str">
        <f t="shared" si="101"/>
        <v>Funcionário</v>
      </c>
    </row>
    <row r="1295" spans="1:5">
      <c r="A1295" s="4" t="str">
        <f t="shared" si="98"/>
        <v>5</v>
      </c>
      <c r="B1295" s="4" t="str">
        <f>"LILIAN SANTOS PEDROSO SAMPAIO"</f>
        <v>LILIAN SANTOS PEDROSO SAMPAIO</v>
      </c>
      <c r="C1295" s="4" t="str">
        <f>"OFICIAL DE PRODUCAO INDUSTRIAL"</f>
        <v>OFICIAL DE PRODUCAO INDUSTRIAL</v>
      </c>
      <c r="D1295" s="5">
        <v>500</v>
      </c>
      <c r="E1295" s="4" t="str">
        <f t="shared" si="101"/>
        <v>Funcionário</v>
      </c>
    </row>
    <row r="1296" spans="1:5">
      <c r="A1296" s="4" t="str">
        <f t="shared" si="98"/>
        <v>5</v>
      </c>
      <c r="B1296" s="4" t="str">
        <f>"LILIANE LOPES BUENO VILELA CAMPOS"</f>
        <v>LILIANE LOPES BUENO VILELA CAMPOS</v>
      </c>
      <c r="C1296" s="4" t="str">
        <f>"ESPECIALISTA"</f>
        <v>ESPECIALISTA</v>
      </c>
      <c r="D1296" s="5">
        <v>500</v>
      </c>
      <c r="E1296" s="4" t="str">
        <f t="shared" si="101"/>
        <v>Funcionário</v>
      </c>
    </row>
    <row r="1297" spans="1:5">
      <c r="A1297" s="4" t="str">
        <f t="shared" si="98"/>
        <v>5</v>
      </c>
      <c r="B1297" s="4" t="str">
        <f>"LINCOLN SOLEVAN BATISTA"</f>
        <v>LINCOLN SOLEVAN BATISTA</v>
      </c>
      <c r="C1297" s="4" t="str">
        <f>"OF FERRAMENTARIA INDUSTRIAL"</f>
        <v>OF FERRAMENTARIA INDUSTRIAL</v>
      </c>
      <c r="D1297" s="5">
        <v>500</v>
      </c>
      <c r="E1297" s="4" t="str">
        <f t="shared" si="101"/>
        <v>Funcionário</v>
      </c>
    </row>
    <row r="1298" spans="1:5">
      <c r="A1298" s="4" t="str">
        <f t="shared" si="98"/>
        <v>5</v>
      </c>
      <c r="B1298" s="4" t="str">
        <f>"LIVIA MARA RODRIGUES SERAFIM FERMINO"</f>
        <v>LIVIA MARA RODRIGUES SERAFIM FERMINO</v>
      </c>
      <c r="C1298" s="4" t="str">
        <f>"OFICIAL DE PRODUCAO INDUSTRIAL"</f>
        <v>OFICIAL DE PRODUCAO INDUSTRIAL</v>
      </c>
      <c r="D1298" s="5">
        <v>500</v>
      </c>
      <c r="E1298" s="4" t="str">
        <f t="shared" si="101"/>
        <v>Funcionário</v>
      </c>
    </row>
    <row r="1299" spans="1:5">
      <c r="A1299" s="4" t="str">
        <f t="shared" si="98"/>
        <v>5</v>
      </c>
      <c r="B1299" s="4" t="str">
        <f>"LORAYNE NICOLE DE SOUZA"</f>
        <v>LORAYNE NICOLE DE SOUZA</v>
      </c>
      <c r="C1299" s="4" t="str">
        <f>"APRENDIZ- PRODUÇÃO"</f>
        <v>APRENDIZ- PRODUÇÃO</v>
      </c>
      <c r="D1299" s="5">
        <v>503</v>
      </c>
      <c r="E1299" s="4" t="str">
        <f>"Aprendiz"</f>
        <v>Aprendiz</v>
      </c>
    </row>
    <row r="1300" spans="1:5">
      <c r="A1300" s="4" t="str">
        <f t="shared" si="98"/>
        <v>5</v>
      </c>
      <c r="B1300" s="4" t="str">
        <f>"LOURDES MICHELE GUIMARAES DE OLIVEIRA"</f>
        <v>LOURDES MICHELE GUIMARAES DE OLIVEIRA</v>
      </c>
      <c r="C1300" s="4" t="str">
        <f>"OFICIAL DE PRODUCAO INDUSTRIAL"</f>
        <v>OFICIAL DE PRODUCAO INDUSTRIAL</v>
      </c>
      <c r="D1300" s="5">
        <v>500</v>
      </c>
      <c r="E1300" s="4" t="str">
        <f>"Funcionário"</f>
        <v>Funcionário</v>
      </c>
    </row>
    <row r="1301" spans="1:5">
      <c r="A1301" s="4" t="str">
        <f t="shared" si="98"/>
        <v>5</v>
      </c>
      <c r="B1301" s="4" t="str">
        <f>"LUARA DE OLIVEIRA ROSA"</f>
        <v>LUARA DE OLIVEIRA ROSA</v>
      </c>
      <c r="C1301" s="4" t="str">
        <f>"TEC INDUSTRIAL ESPECIALIZADO"</f>
        <v>TEC INDUSTRIAL ESPECIALIZADO</v>
      </c>
      <c r="D1301" s="5">
        <v>500</v>
      </c>
      <c r="E1301" s="4" t="str">
        <f>"Funcionário"</f>
        <v>Funcionário</v>
      </c>
    </row>
    <row r="1302" spans="1:5">
      <c r="A1302" s="4" t="str">
        <f t="shared" si="98"/>
        <v>5</v>
      </c>
      <c r="B1302" s="4" t="str">
        <f>"LUCAS ANTONY DE CASTRO"</f>
        <v>LUCAS ANTONY DE CASTRO</v>
      </c>
      <c r="C1302" s="4" t="str">
        <f>"APRENDIZ- PRODUÇÃO"</f>
        <v>APRENDIZ- PRODUÇÃO</v>
      </c>
      <c r="D1302" s="5">
        <v>503</v>
      </c>
      <c r="E1302" s="4" t="str">
        <f>"Aprendiz"</f>
        <v>Aprendiz</v>
      </c>
    </row>
    <row r="1303" spans="1:5">
      <c r="A1303" s="4" t="str">
        <f t="shared" si="98"/>
        <v>5</v>
      </c>
      <c r="B1303" s="4" t="str">
        <f>"LUCAS COLI"</f>
        <v>LUCAS COLI</v>
      </c>
      <c r="C1303" s="4" t="str">
        <f>"OFICIAL DE PRODUCAO INDUSTRIAL"</f>
        <v>OFICIAL DE PRODUCAO INDUSTRIAL</v>
      </c>
      <c r="D1303" s="5">
        <v>500</v>
      </c>
      <c r="E1303" s="4" t="str">
        <f t="shared" ref="E1303:E1317" si="102">"Funcionário"</f>
        <v>Funcionário</v>
      </c>
    </row>
    <row r="1304" spans="1:5">
      <c r="A1304" s="4" t="str">
        <f t="shared" si="98"/>
        <v>5</v>
      </c>
      <c r="B1304" s="4" t="str">
        <f>"LUCIA APARECIDA ESTEVAO ROSA"</f>
        <v>LUCIA APARECIDA ESTEVAO ROSA</v>
      </c>
      <c r="C1304" s="4" t="str">
        <f>"OFICIAL DE PRODUCAO INDUSTRIAL"</f>
        <v>OFICIAL DE PRODUCAO INDUSTRIAL</v>
      </c>
      <c r="D1304" s="5">
        <v>500</v>
      </c>
      <c r="E1304" s="4" t="str">
        <f t="shared" si="102"/>
        <v>Funcionário</v>
      </c>
    </row>
    <row r="1305" spans="1:5">
      <c r="A1305" s="4" t="str">
        <f t="shared" si="98"/>
        <v>5</v>
      </c>
      <c r="B1305" s="4" t="str">
        <f>"LUCIANA FERREIRA"</f>
        <v>LUCIANA FERREIRA</v>
      </c>
      <c r="C1305" s="4" t="str">
        <f>"OFICIAL DE PRODUCAO INDUSTRIAL"</f>
        <v>OFICIAL DE PRODUCAO INDUSTRIAL</v>
      </c>
      <c r="D1305" s="5">
        <v>500</v>
      </c>
      <c r="E1305" s="4" t="str">
        <f t="shared" si="102"/>
        <v>Funcionário</v>
      </c>
    </row>
    <row r="1306" spans="1:5">
      <c r="A1306" s="4" t="str">
        <f t="shared" si="98"/>
        <v>5</v>
      </c>
      <c r="B1306" s="4" t="str">
        <f>"LUCIANA JOSE RIBEIRO DOS SANTOS"</f>
        <v>LUCIANA JOSE RIBEIRO DOS SANTOS</v>
      </c>
      <c r="C1306" s="4" t="str">
        <f>"OFICIAL DE PRODUCAO INDUSTRIAL"</f>
        <v>OFICIAL DE PRODUCAO INDUSTRIAL</v>
      </c>
      <c r="D1306" s="5">
        <v>500</v>
      </c>
      <c r="E1306" s="4" t="str">
        <f t="shared" si="102"/>
        <v>Funcionário</v>
      </c>
    </row>
    <row r="1307" spans="1:5">
      <c r="A1307" s="4" t="str">
        <f t="shared" si="98"/>
        <v>5</v>
      </c>
      <c r="B1307" s="4" t="str">
        <f>"LUCIANA VELOSO DO CARMO"</f>
        <v>LUCIANA VELOSO DO CARMO</v>
      </c>
      <c r="C1307" s="4" t="str">
        <f>"TEC INDUSTRIAL ESPECIALIZADO"</f>
        <v>TEC INDUSTRIAL ESPECIALIZADO</v>
      </c>
      <c r="D1307" s="5">
        <v>500</v>
      </c>
      <c r="E1307" s="4" t="str">
        <f t="shared" si="102"/>
        <v>Funcionário</v>
      </c>
    </row>
    <row r="1308" spans="1:5">
      <c r="A1308" s="4" t="str">
        <f t="shared" si="98"/>
        <v>5</v>
      </c>
      <c r="B1308" s="4" t="str">
        <f>"LUCIANO RIBEIRO DE CASTRO"</f>
        <v>LUCIANO RIBEIRO DE CASTRO</v>
      </c>
      <c r="C1308" s="4" t="str">
        <f>"MOTORISTA"</f>
        <v>MOTORISTA</v>
      </c>
      <c r="D1308" s="5">
        <v>500</v>
      </c>
      <c r="E1308" s="4" t="str">
        <f t="shared" si="102"/>
        <v>Funcionário</v>
      </c>
    </row>
    <row r="1309" spans="1:5">
      <c r="A1309" s="4" t="str">
        <f t="shared" si="98"/>
        <v>5</v>
      </c>
      <c r="B1309" s="4" t="str">
        <f>"LUCIENE FRANCINE DE OLIVEIRA NUNES"</f>
        <v>LUCIENE FRANCINE DE OLIVEIRA NUNES</v>
      </c>
      <c r="C1309" s="4" t="str">
        <f>"TECNICO ADM ESPECIALIZADO"</f>
        <v>TECNICO ADM ESPECIALIZADO</v>
      </c>
      <c r="D1309" s="5">
        <v>500</v>
      </c>
      <c r="E1309" s="4" t="str">
        <f t="shared" si="102"/>
        <v>Funcionário</v>
      </c>
    </row>
    <row r="1310" spans="1:5">
      <c r="A1310" s="4" t="str">
        <f t="shared" si="98"/>
        <v>5</v>
      </c>
      <c r="B1310" s="4" t="str">
        <f>"LUCILENE DA SILVA PAIXAO"</f>
        <v>LUCILENE DA SILVA PAIXAO</v>
      </c>
      <c r="C1310" s="4" t="str">
        <f>"AGENTE DE APOIO OPERACIONAL"</f>
        <v>AGENTE DE APOIO OPERACIONAL</v>
      </c>
      <c r="D1310" s="5">
        <v>500</v>
      </c>
      <c r="E1310" s="4" t="str">
        <f t="shared" si="102"/>
        <v>Funcionário</v>
      </c>
    </row>
    <row r="1311" spans="1:5">
      <c r="A1311" s="4" t="str">
        <f t="shared" si="98"/>
        <v>5</v>
      </c>
      <c r="B1311" s="4" t="str">
        <f>"LUCILENI DE CASSIA XAVIER SILVA"</f>
        <v>LUCILENI DE CASSIA XAVIER SILVA</v>
      </c>
      <c r="C1311" s="4" t="str">
        <f>"OFICIAL DE PRODUCAO INDUSTRIAL"</f>
        <v>OFICIAL DE PRODUCAO INDUSTRIAL</v>
      </c>
      <c r="D1311" s="5">
        <v>500</v>
      </c>
      <c r="E1311" s="4" t="str">
        <f t="shared" si="102"/>
        <v>Funcionário</v>
      </c>
    </row>
    <row r="1312" spans="1:5">
      <c r="A1312" s="4" t="str">
        <f t="shared" si="98"/>
        <v>5</v>
      </c>
      <c r="B1312" s="4" t="str">
        <f>"LUCIMARA JULIETA DA SILVA RITA"</f>
        <v>LUCIMARA JULIETA DA SILVA RITA</v>
      </c>
      <c r="C1312" s="4" t="str">
        <f>"OFICIAL DE PRODUCAO INDUSTRIAL"</f>
        <v>OFICIAL DE PRODUCAO INDUSTRIAL</v>
      </c>
      <c r="D1312" s="5">
        <v>500</v>
      </c>
      <c r="E1312" s="4" t="str">
        <f t="shared" si="102"/>
        <v>Funcionário</v>
      </c>
    </row>
    <row r="1313" spans="1:5">
      <c r="A1313" s="4" t="str">
        <f t="shared" si="98"/>
        <v>5</v>
      </c>
      <c r="B1313" s="4" t="str">
        <f>"LUCYMARA GONÇALVES"</f>
        <v>LUCYMARA GONÇALVES</v>
      </c>
      <c r="C1313" s="4" t="str">
        <f>"ANALISTA ESPECIALIZADO"</f>
        <v>ANALISTA ESPECIALIZADO</v>
      </c>
      <c r="D1313" s="5">
        <v>500</v>
      </c>
      <c r="E1313" s="4" t="str">
        <f t="shared" si="102"/>
        <v>Funcionário</v>
      </c>
    </row>
    <row r="1314" spans="1:5">
      <c r="A1314" s="4" t="str">
        <f t="shared" si="98"/>
        <v>5</v>
      </c>
      <c r="B1314" s="4" t="str">
        <f>"LUIGGI VICENZO MARINHO"</f>
        <v>LUIGGI VICENZO MARINHO</v>
      </c>
      <c r="C1314" s="4" t="str">
        <f>"ANALISTA ESPECIALIZADO"</f>
        <v>ANALISTA ESPECIALIZADO</v>
      </c>
      <c r="D1314" s="5">
        <v>500</v>
      </c>
      <c r="E1314" s="4" t="str">
        <f t="shared" si="102"/>
        <v>Funcionário</v>
      </c>
    </row>
    <row r="1315" spans="1:5">
      <c r="A1315" s="4" t="str">
        <f t="shared" si="98"/>
        <v>5</v>
      </c>
      <c r="B1315" s="4" t="str">
        <f>"LUIS CARLOS BITENCOURT"</f>
        <v>LUIS CARLOS BITENCOURT</v>
      </c>
      <c r="C1315" s="4" t="str">
        <f>"OFICIAL DE PRODUCAO INDUSTRIAL"</f>
        <v>OFICIAL DE PRODUCAO INDUSTRIAL</v>
      </c>
      <c r="D1315" s="5">
        <v>500</v>
      </c>
      <c r="E1315" s="4" t="str">
        <f t="shared" si="102"/>
        <v>Funcionário</v>
      </c>
    </row>
    <row r="1316" spans="1:5">
      <c r="A1316" s="4" t="str">
        <f t="shared" si="98"/>
        <v>5</v>
      </c>
      <c r="B1316" s="4" t="str">
        <f>"LUIS IVAN DE CAMPOS"</f>
        <v>LUIS IVAN DE CAMPOS</v>
      </c>
      <c r="C1316" s="4" t="str">
        <f>"OFICIAL DE PRODUCAO INDUSTRIAL"</f>
        <v>OFICIAL DE PRODUCAO INDUSTRIAL</v>
      </c>
      <c r="D1316" s="5">
        <v>500</v>
      </c>
      <c r="E1316" s="4" t="str">
        <f t="shared" si="102"/>
        <v>Funcionário</v>
      </c>
    </row>
    <row r="1317" spans="1:5">
      <c r="A1317" s="4" t="str">
        <f t="shared" si="98"/>
        <v>5</v>
      </c>
      <c r="B1317" s="4" t="str">
        <f>"LUIZ ANTONIO RIBEIRO"</f>
        <v>LUIZ ANTONIO RIBEIRO</v>
      </c>
      <c r="C1317" s="4" t="str">
        <f>"AGENTE DE APOIO OPERACIONAL"</f>
        <v>AGENTE DE APOIO OPERACIONAL</v>
      </c>
      <c r="D1317" s="5">
        <v>500</v>
      </c>
      <c r="E1317" s="4" t="str">
        <f t="shared" si="102"/>
        <v>Funcionário</v>
      </c>
    </row>
    <row r="1318" spans="1:5">
      <c r="A1318" s="4" t="str">
        <f t="shared" si="98"/>
        <v>5</v>
      </c>
      <c r="B1318" s="4" t="str">
        <f>"LUIZ ANTONIO SALES"</f>
        <v>LUIZ ANTONIO SALES</v>
      </c>
      <c r="C1318" s="4" t="str">
        <f>"OFICIAL DE PRODUCAO INDUSTRIAL"</f>
        <v>OFICIAL DE PRODUCAO INDUSTRIAL</v>
      </c>
      <c r="D1318" s="5">
        <v>500</v>
      </c>
      <c r="E1318" s="4" t="str">
        <f>"Aposentado"</f>
        <v>Aposentado</v>
      </c>
    </row>
    <row r="1319" spans="1:5">
      <c r="A1319" s="4" t="str">
        <f t="shared" si="98"/>
        <v>5</v>
      </c>
      <c r="B1319" s="4" t="str">
        <f>"LUIZ AUGUSTO RANGEL"</f>
        <v>LUIZ AUGUSTO RANGEL</v>
      </c>
      <c r="C1319" s="4" t="str">
        <f>"AUXILIAR TECNICO INDUSTRIAL"</f>
        <v>AUXILIAR TECNICO INDUSTRIAL</v>
      </c>
      <c r="D1319" s="5">
        <v>500</v>
      </c>
      <c r="E1319" s="4" t="str">
        <f>"Funcionário"</f>
        <v>Funcionário</v>
      </c>
    </row>
    <row r="1320" spans="1:5">
      <c r="A1320" s="4" t="str">
        <f t="shared" si="98"/>
        <v>5</v>
      </c>
      <c r="B1320" s="4" t="str">
        <f>"LUIZ CARLOS COURA"</f>
        <v>LUIZ CARLOS COURA</v>
      </c>
      <c r="C1320" s="4" t="str">
        <f>"AUXILIAR TECNICO INDUSTRIAL"</f>
        <v>AUXILIAR TECNICO INDUSTRIAL</v>
      </c>
      <c r="D1320" s="5">
        <v>500</v>
      </c>
      <c r="E1320" s="4" t="str">
        <f>"Aposentado"</f>
        <v>Aposentado</v>
      </c>
    </row>
    <row r="1321" spans="1:5">
      <c r="A1321" s="4" t="str">
        <f t="shared" si="98"/>
        <v>5</v>
      </c>
      <c r="B1321" s="4" t="str">
        <f>"LUIZ CARLOS DA SILVA"</f>
        <v>LUIZ CARLOS DA SILVA</v>
      </c>
      <c r="C1321" s="4" t="str">
        <f>"OFICIAL DE PRODUCAO INDUSTRIAL"</f>
        <v>OFICIAL DE PRODUCAO INDUSTRIAL</v>
      </c>
      <c r="D1321" s="5">
        <v>500</v>
      </c>
      <c r="E1321" s="4" t="str">
        <f>"Aposentado"</f>
        <v>Aposentado</v>
      </c>
    </row>
    <row r="1322" spans="1:5">
      <c r="A1322" s="4" t="str">
        <f t="shared" ref="A1322:A1385" si="103">"5"</f>
        <v>5</v>
      </c>
      <c r="B1322" s="4" t="str">
        <f>"LUIZ CARLOS DA SILVA"</f>
        <v>LUIZ CARLOS DA SILVA</v>
      </c>
      <c r="C1322" s="4" t="str">
        <f>"OF FERRAMENTARIA INDUSTRIAL"</f>
        <v>OF FERRAMENTARIA INDUSTRIAL</v>
      </c>
      <c r="D1322" s="5">
        <v>500</v>
      </c>
      <c r="E1322" s="4" t="str">
        <f>"Aposentado"</f>
        <v>Aposentado</v>
      </c>
    </row>
    <row r="1323" spans="1:5">
      <c r="A1323" s="4" t="str">
        <f t="shared" si="103"/>
        <v>5</v>
      </c>
      <c r="B1323" s="4" t="str">
        <f>"LUIZ CARLOS DA SILVA"</f>
        <v>LUIZ CARLOS DA SILVA</v>
      </c>
      <c r="C1323" s="4" t="str">
        <f>"OFICIAL DE PRODUCAO INDUSTRIAL"</f>
        <v>OFICIAL DE PRODUCAO INDUSTRIAL</v>
      </c>
      <c r="D1323" s="5">
        <v>500</v>
      </c>
      <c r="E1323" s="4" t="str">
        <f>"Aposentado"</f>
        <v>Aposentado</v>
      </c>
    </row>
    <row r="1324" spans="1:5">
      <c r="A1324" s="4" t="str">
        <f t="shared" si="103"/>
        <v>5</v>
      </c>
      <c r="B1324" s="4" t="str">
        <f>"LUIZ CARLOS SEVERINO"</f>
        <v>LUIZ CARLOS SEVERINO</v>
      </c>
      <c r="C1324" s="4" t="str">
        <f>"OFICIAL DE PRODUCAO INDUSTRIAL"</f>
        <v>OFICIAL DE PRODUCAO INDUSTRIAL</v>
      </c>
      <c r="D1324" s="5">
        <v>500</v>
      </c>
      <c r="E1324" s="4" t="str">
        <f>"Funcionário"</f>
        <v>Funcionário</v>
      </c>
    </row>
    <row r="1325" spans="1:5">
      <c r="A1325" s="4" t="str">
        <f t="shared" si="103"/>
        <v>5</v>
      </c>
      <c r="B1325" s="4" t="str">
        <f>"LUIZ CLAUDIO ROSA"</f>
        <v>LUIZ CLAUDIO ROSA</v>
      </c>
      <c r="C1325" s="4" t="str">
        <f>"TEC INDUSTRIAL ESPECIALIZADO"</f>
        <v>TEC INDUSTRIAL ESPECIALIZADO</v>
      </c>
      <c r="D1325" s="5">
        <v>500</v>
      </c>
      <c r="E1325" s="4" t="str">
        <f>"Aposentado"</f>
        <v>Aposentado</v>
      </c>
    </row>
    <row r="1326" spans="1:5">
      <c r="A1326" s="4" t="str">
        <f t="shared" si="103"/>
        <v>5</v>
      </c>
      <c r="B1326" s="4" t="str">
        <f>"LUIZ GONZAGA SAMPAIO"</f>
        <v>LUIZ GONZAGA SAMPAIO</v>
      </c>
      <c r="C1326" s="4" t="str">
        <f>"OFICIAL DE PRODUCAO INDUSTRIAL"</f>
        <v>OFICIAL DE PRODUCAO INDUSTRIAL</v>
      </c>
      <c r="D1326" s="5">
        <v>500</v>
      </c>
      <c r="E1326" s="4" t="str">
        <f>"Aposentado"</f>
        <v>Aposentado</v>
      </c>
    </row>
    <row r="1327" spans="1:5">
      <c r="A1327" s="4" t="str">
        <f t="shared" si="103"/>
        <v>5</v>
      </c>
      <c r="B1327" s="4" t="str">
        <f>"LUIZ GUSTAVO SOARES CIPRIANO"</f>
        <v>LUIZ GUSTAVO SOARES CIPRIANO</v>
      </c>
      <c r="C1327" s="4" t="str">
        <f>"AUX TECNICO ADMINISTRATIVO"</f>
        <v>AUX TECNICO ADMINISTRATIVO</v>
      </c>
      <c r="D1327" s="5">
        <v>500</v>
      </c>
      <c r="E1327" s="4" t="str">
        <f>"Funcionário"</f>
        <v>Funcionário</v>
      </c>
    </row>
    <row r="1328" spans="1:5">
      <c r="A1328" s="4" t="str">
        <f t="shared" si="103"/>
        <v>5</v>
      </c>
      <c r="B1328" s="4" t="str">
        <f>"LUIZ HENRIQUE CANDIDO"</f>
        <v>LUIZ HENRIQUE CANDIDO</v>
      </c>
      <c r="C1328" s="4" t="str">
        <f>"OFICIAL DE PRODUCAO INDUSTRIAL"</f>
        <v>OFICIAL DE PRODUCAO INDUSTRIAL</v>
      </c>
      <c r="D1328" s="5">
        <v>500</v>
      </c>
      <c r="E1328" s="4" t="str">
        <f>"Aposentado"</f>
        <v>Aposentado</v>
      </c>
    </row>
    <row r="1329" spans="1:5">
      <c r="A1329" s="4" t="str">
        <f t="shared" si="103"/>
        <v>5</v>
      </c>
      <c r="B1329" s="4" t="str">
        <f>"LUIZ HENRIQUE PEREIRA"</f>
        <v>LUIZ HENRIQUE PEREIRA</v>
      </c>
      <c r="C1329" s="4" t="str">
        <f>"TEC INDUSTRIAL ESPECIALIZADO"</f>
        <v>TEC INDUSTRIAL ESPECIALIZADO</v>
      </c>
      <c r="D1329" s="5">
        <v>500</v>
      </c>
      <c r="E1329" s="4" t="str">
        <f>"Aposentado"</f>
        <v>Aposentado</v>
      </c>
    </row>
    <row r="1330" spans="1:5">
      <c r="A1330" s="4" t="str">
        <f t="shared" si="103"/>
        <v>5</v>
      </c>
      <c r="B1330" s="4" t="str">
        <f>"LUIZ RENATO DIAS FARIA"</f>
        <v>LUIZ RENATO DIAS FARIA</v>
      </c>
      <c r="C1330" s="4" t="str">
        <f>"MOTORISTA"</f>
        <v>MOTORISTA</v>
      </c>
      <c r="D1330" s="5">
        <v>500</v>
      </c>
      <c r="E1330" s="4" t="str">
        <f>"Aposentado"</f>
        <v>Aposentado</v>
      </c>
    </row>
    <row r="1331" spans="1:5">
      <c r="A1331" s="4" t="str">
        <f t="shared" si="103"/>
        <v>5</v>
      </c>
      <c r="B1331" s="4" t="str">
        <f>"LUIZA DE CASSIA RIBEIRO COSTA"</f>
        <v>LUIZA DE CASSIA RIBEIRO COSTA</v>
      </c>
      <c r="C1331" s="4" t="str">
        <f>"OFICIAL DE PRODUCAO INDUSTRIAL"</f>
        <v>OFICIAL DE PRODUCAO INDUSTRIAL</v>
      </c>
      <c r="D1331" s="5">
        <v>500</v>
      </c>
      <c r="E1331" s="4" t="str">
        <f>"Funcionário"</f>
        <v>Funcionário</v>
      </c>
    </row>
    <row r="1332" spans="1:5">
      <c r="A1332" s="4" t="str">
        <f t="shared" si="103"/>
        <v>5</v>
      </c>
      <c r="B1332" s="4" t="str">
        <f>"LUNA LAURIELI RIBEIRO SANTOS"</f>
        <v>LUNA LAURIELI RIBEIRO SANTOS</v>
      </c>
      <c r="C1332" s="4" t="str">
        <f>"APRENDIZ- PRODUÇÃO"</f>
        <v>APRENDIZ- PRODUÇÃO</v>
      </c>
      <c r="D1332" s="5">
        <v>503</v>
      </c>
      <c r="E1332" s="4" t="str">
        <f>"Aprendiz"</f>
        <v>Aprendiz</v>
      </c>
    </row>
    <row r="1333" spans="1:5">
      <c r="A1333" s="4" t="str">
        <f t="shared" si="103"/>
        <v>5</v>
      </c>
      <c r="B1333" s="4" t="str">
        <f>"MAIRA DE MENDONÇA"</f>
        <v>MAIRA DE MENDONÇA</v>
      </c>
      <c r="C1333" s="4" t="str">
        <f>"ENGENHEIRO"</f>
        <v>ENGENHEIRO</v>
      </c>
      <c r="D1333" s="5">
        <v>500</v>
      </c>
      <c r="E1333" s="4" t="str">
        <f>"Funcionário"</f>
        <v>Funcionário</v>
      </c>
    </row>
    <row r="1334" spans="1:5">
      <c r="A1334" s="4" t="str">
        <f t="shared" si="103"/>
        <v>5</v>
      </c>
      <c r="B1334" s="4" t="str">
        <f>"MARCELA APARECIDA DE OLIVEIRA REIS"</f>
        <v>MARCELA APARECIDA DE OLIVEIRA REIS</v>
      </c>
      <c r="C1334" s="4" t="str">
        <f>"OFICIAL DE PRODUCAO INDUSTRIAL"</f>
        <v>OFICIAL DE PRODUCAO INDUSTRIAL</v>
      </c>
      <c r="D1334" s="5">
        <v>500</v>
      </c>
      <c r="E1334" s="4" t="str">
        <f>"Funcionário"</f>
        <v>Funcionário</v>
      </c>
    </row>
    <row r="1335" spans="1:5">
      <c r="A1335" s="4" t="str">
        <f t="shared" si="103"/>
        <v>5</v>
      </c>
      <c r="B1335" s="4" t="str">
        <f>"MARCELO AUGUSTO GOMES DA SILVA"</f>
        <v>MARCELO AUGUSTO GOMES DA SILVA</v>
      </c>
      <c r="C1335" s="4" t="str">
        <f>"AUXILIAR TECNICO INDUSTRIAL"</f>
        <v>AUXILIAR TECNICO INDUSTRIAL</v>
      </c>
      <c r="D1335" s="5">
        <v>500</v>
      </c>
      <c r="E1335" s="4" t="str">
        <f>"Funcionário"</f>
        <v>Funcionário</v>
      </c>
    </row>
    <row r="1336" spans="1:5">
      <c r="A1336" s="4" t="str">
        <f t="shared" si="103"/>
        <v>5</v>
      </c>
      <c r="B1336" s="4" t="str">
        <f>"MARCELO BARBOSA CANDIDO"</f>
        <v>MARCELO BARBOSA CANDIDO</v>
      </c>
      <c r="C1336" s="4" t="str">
        <f>"OFICIAL DE PRODUCAO INDUSTRIAL"</f>
        <v>OFICIAL DE PRODUCAO INDUSTRIAL</v>
      </c>
      <c r="D1336" s="5">
        <v>500</v>
      </c>
      <c r="E1336" s="4" t="str">
        <f>"Funcionário"</f>
        <v>Funcionário</v>
      </c>
    </row>
    <row r="1337" spans="1:5">
      <c r="A1337" s="4" t="str">
        <f t="shared" si="103"/>
        <v>5</v>
      </c>
      <c r="B1337" s="4" t="str">
        <f>"MARCELO BASTOS"</f>
        <v>MARCELO BASTOS</v>
      </c>
      <c r="C1337" s="4" t="str">
        <f>"OFICIAL DE PRODUCAO INDUSTRIAL"</f>
        <v>OFICIAL DE PRODUCAO INDUSTRIAL</v>
      </c>
      <c r="D1337" s="5">
        <v>500</v>
      </c>
      <c r="E1337" s="4" t="str">
        <f>"Aposentado"</f>
        <v>Aposentado</v>
      </c>
    </row>
    <row r="1338" spans="1:5">
      <c r="A1338" s="4" t="str">
        <f t="shared" si="103"/>
        <v>5</v>
      </c>
      <c r="B1338" s="4" t="str">
        <f>"MARCELO MARCELINO"</f>
        <v>MARCELO MARCELINO</v>
      </c>
      <c r="C1338" s="4" t="str">
        <f>"CHEFE DE DIVISAO III"</f>
        <v>CHEFE DE DIVISAO III</v>
      </c>
      <c r="D1338" s="5">
        <v>501</v>
      </c>
      <c r="E1338" s="4" t="str">
        <f>"Funcionário"</f>
        <v>Funcionário</v>
      </c>
    </row>
    <row r="1339" spans="1:5">
      <c r="A1339" s="4" t="str">
        <f t="shared" si="103"/>
        <v>5</v>
      </c>
      <c r="B1339" s="4" t="str">
        <f>"MARCELO RIBEIRO"</f>
        <v>MARCELO RIBEIRO</v>
      </c>
      <c r="C1339" s="4" t="str">
        <f>"TEC INDUSTRIAL ESPECIALIZADO"</f>
        <v>TEC INDUSTRIAL ESPECIALIZADO</v>
      </c>
      <c r="D1339" s="5">
        <v>500</v>
      </c>
      <c r="E1339" s="4" t="str">
        <f>"Aposentado"</f>
        <v>Aposentado</v>
      </c>
    </row>
    <row r="1340" spans="1:5">
      <c r="A1340" s="4" t="str">
        <f t="shared" si="103"/>
        <v>5</v>
      </c>
      <c r="B1340" s="4" t="str">
        <f>"MARCELO RODRIGO DE SOUZA"</f>
        <v>MARCELO RODRIGO DE SOUZA</v>
      </c>
      <c r="C1340" s="4" t="str">
        <f>"OFICIAL DE PRODUCAO INDUSTRIAL"</f>
        <v>OFICIAL DE PRODUCAO INDUSTRIAL</v>
      </c>
      <c r="D1340" s="5">
        <v>500</v>
      </c>
      <c r="E1340" s="4" t="str">
        <f t="shared" ref="E1340:E1349" si="104">"Funcionário"</f>
        <v>Funcionário</v>
      </c>
    </row>
    <row r="1341" spans="1:5">
      <c r="A1341" s="4" t="str">
        <f t="shared" si="103"/>
        <v>5</v>
      </c>
      <c r="B1341" s="4" t="str">
        <f>"MARCELO SERAGLIA"</f>
        <v>MARCELO SERAGLIA</v>
      </c>
      <c r="C1341" s="4" t="str">
        <f>"TECNICO ADM ESPECIALIZADO"</f>
        <v>TECNICO ADM ESPECIALIZADO</v>
      </c>
      <c r="D1341" s="5">
        <v>500</v>
      </c>
      <c r="E1341" s="4" t="str">
        <f t="shared" si="104"/>
        <v>Funcionário</v>
      </c>
    </row>
    <row r="1342" spans="1:5">
      <c r="A1342" s="4" t="str">
        <f t="shared" si="103"/>
        <v>5</v>
      </c>
      <c r="B1342" s="4" t="str">
        <f>"MARCIA APARECIDA DUARTE"</f>
        <v>MARCIA APARECIDA DUARTE</v>
      </c>
      <c r="C1342" s="4" t="str">
        <f>"AUX TECNICO ADMINISTRATIVO"</f>
        <v>AUX TECNICO ADMINISTRATIVO</v>
      </c>
      <c r="D1342" s="5">
        <v>500</v>
      </c>
      <c r="E1342" s="4" t="str">
        <f t="shared" si="104"/>
        <v>Funcionário</v>
      </c>
    </row>
    <row r="1343" spans="1:5">
      <c r="A1343" s="4" t="str">
        <f t="shared" si="103"/>
        <v>5</v>
      </c>
      <c r="B1343" s="4" t="str">
        <f>"MARCIA BATISTA CAROLINO DA SILVA"</f>
        <v>MARCIA BATISTA CAROLINO DA SILVA</v>
      </c>
      <c r="C1343" s="4" t="str">
        <f>"OFICIAL DE PRODUCAO INDUSTRIAL"</f>
        <v>OFICIAL DE PRODUCAO INDUSTRIAL</v>
      </c>
      <c r="D1343" s="5">
        <v>500</v>
      </c>
      <c r="E1343" s="4" t="str">
        <f t="shared" si="104"/>
        <v>Funcionário</v>
      </c>
    </row>
    <row r="1344" spans="1:5">
      <c r="A1344" s="4" t="str">
        <f t="shared" si="103"/>
        <v>5</v>
      </c>
      <c r="B1344" s="4" t="str">
        <f>"MARCIA DA SILVA PINTO"</f>
        <v>MARCIA DA SILVA PINTO</v>
      </c>
      <c r="C1344" s="4" t="str">
        <f>"OFICIAL DE PRODUCAO INDUSTRIAL"</f>
        <v>OFICIAL DE PRODUCAO INDUSTRIAL</v>
      </c>
      <c r="D1344" s="5">
        <v>500</v>
      </c>
      <c r="E1344" s="4" t="str">
        <f t="shared" si="104"/>
        <v>Funcionário</v>
      </c>
    </row>
    <row r="1345" spans="1:5">
      <c r="A1345" s="4" t="str">
        <f t="shared" si="103"/>
        <v>5</v>
      </c>
      <c r="B1345" s="4" t="str">
        <f>"MARCIA DONIZETI DA SILVA MAXIMIANO"</f>
        <v>MARCIA DONIZETI DA SILVA MAXIMIANO</v>
      </c>
      <c r="C1345" s="4" t="str">
        <f>"AUX TECNICO ADMINISTRATIVO"</f>
        <v>AUX TECNICO ADMINISTRATIVO</v>
      </c>
      <c r="D1345" s="5">
        <v>500</v>
      </c>
      <c r="E1345" s="4" t="str">
        <f t="shared" si="104"/>
        <v>Funcionário</v>
      </c>
    </row>
    <row r="1346" spans="1:5">
      <c r="A1346" s="4" t="str">
        <f t="shared" si="103"/>
        <v>5</v>
      </c>
      <c r="B1346" s="4" t="str">
        <f>"MARCIANO BERTULINO SILVA"</f>
        <v>MARCIANO BERTULINO SILVA</v>
      </c>
      <c r="C1346" s="4" t="str">
        <f>"OFICIAL DE PRODUCAO INDUSTRIAL"</f>
        <v>OFICIAL DE PRODUCAO INDUSTRIAL</v>
      </c>
      <c r="D1346" s="5">
        <v>500</v>
      </c>
      <c r="E1346" s="4" t="str">
        <f t="shared" si="104"/>
        <v>Funcionário</v>
      </c>
    </row>
    <row r="1347" spans="1:5">
      <c r="A1347" s="4" t="str">
        <f t="shared" si="103"/>
        <v>5</v>
      </c>
      <c r="B1347" s="4" t="str">
        <f>"MARCIANO SEBASTIAO DOS PASSOS"</f>
        <v>MARCIANO SEBASTIAO DOS PASSOS</v>
      </c>
      <c r="C1347" s="4" t="str">
        <f>"TEC INDUSTRIAL ESPECIALIZADO"</f>
        <v>TEC INDUSTRIAL ESPECIALIZADO</v>
      </c>
      <c r="D1347" s="5">
        <v>500</v>
      </c>
      <c r="E1347" s="4" t="str">
        <f t="shared" si="104"/>
        <v>Funcionário</v>
      </c>
    </row>
    <row r="1348" spans="1:5">
      <c r="A1348" s="4" t="str">
        <f t="shared" si="103"/>
        <v>5</v>
      </c>
      <c r="B1348" s="4" t="str">
        <f>"MARCIO ALEXANDRE DA SILVA"</f>
        <v>MARCIO ALEXANDRE DA SILVA</v>
      </c>
      <c r="C1348" s="4" t="str">
        <f>"OFICIAL DE PRODUCAO INDUSTRIAL"</f>
        <v>OFICIAL DE PRODUCAO INDUSTRIAL</v>
      </c>
      <c r="D1348" s="5">
        <v>500</v>
      </c>
      <c r="E1348" s="4" t="str">
        <f t="shared" si="104"/>
        <v>Funcionário</v>
      </c>
    </row>
    <row r="1349" spans="1:5">
      <c r="A1349" s="4" t="str">
        <f t="shared" si="103"/>
        <v>5</v>
      </c>
      <c r="B1349" s="4" t="str">
        <f>"MARCIO APOLINARIO DA SILVA"</f>
        <v>MARCIO APOLINARIO DA SILVA</v>
      </c>
      <c r="C1349" s="4" t="str">
        <f>"OFICIAL DE PRODUCAO INDUSTRIAL"</f>
        <v>OFICIAL DE PRODUCAO INDUSTRIAL</v>
      </c>
      <c r="D1349" s="5">
        <v>500</v>
      </c>
      <c r="E1349" s="4" t="str">
        <f t="shared" si="104"/>
        <v>Funcionário</v>
      </c>
    </row>
    <row r="1350" spans="1:5">
      <c r="A1350" s="4" t="str">
        <f t="shared" si="103"/>
        <v>5</v>
      </c>
      <c r="B1350" s="4" t="str">
        <f>"MARCIO DOS SANTOS"</f>
        <v>MARCIO DOS SANTOS</v>
      </c>
      <c r="C1350" s="4" t="str">
        <f>"OFICIAL DE PRODUCAO INDUSTRIAL"</f>
        <v>OFICIAL DE PRODUCAO INDUSTRIAL</v>
      </c>
      <c r="D1350" s="5">
        <v>500</v>
      </c>
      <c r="E1350" s="4" t="str">
        <f>"Aposentado"</f>
        <v>Aposentado</v>
      </c>
    </row>
    <row r="1351" spans="1:5">
      <c r="A1351" s="4" t="str">
        <f t="shared" si="103"/>
        <v>5</v>
      </c>
      <c r="B1351" s="4" t="str">
        <f>"MARCIO LUIZ DA CRUZ"</f>
        <v>MARCIO LUIZ DA CRUZ</v>
      </c>
      <c r="C1351" s="4" t="str">
        <f>"AGENTE DE APOIO OPERACIONAL"</f>
        <v>AGENTE DE APOIO OPERACIONAL</v>
      </c>
      <c r="D1351" s="5">
        <v>500</v>
      </c>
      <c r="E1351" s="4" t="str">
        <f>"Funcionário"</f>
        <v>Funcionário</v>
      </c>
    </row>
    <row r="1352" spans="1:5">
      <c r="A1352" s="4" t="str">
        <f t="shared" si="103"/>
        <v>5</v>
      </c>
      <c r="B1352" s="4" t="str">
        <f>"MARCO ANTONIO GONCALVES SILVA"</f>
        <v>MARCO ANTONIO GONCALVES SILVA</v>
      </c>
      <c r="C1352" s="4" t="str">
        <f>"OFICIAL DE PRODUCAO INDUSTRIAL"</f>
        <v>OFICIAL DE PRODUCAO INDUSTRIAL</v>
      </c>
      <c r="D1352" s="5">
        <v>500</v>
      </c>
      <c r="E1352" s="4" t="str">
        <f>"Funcionário"</f>
        <v>Funcionário</v>
      </c>
    </row>
    <row r="1353" spans="1:5">
      <c r="A1353" s="4" t="str">
        <f t="shared" si="103"/>
        <v>5</v>
      </c>
      <c r="B1353" s="4" t="str">
        <f>"MARCOS ANTONIO RIBEIRO"</f>
        <v>MARCOS ANTONIO RIBEIRO</v>
      </c>
      <c r="C1353" s="4" t="str">
        <f>"AUXILIAR TECNICO INDUSTRIAL"</f>
        <v>AUXILIAR TECNICO INDUSTRIAL</v>
      </c>
      <c r="D1353" s="5">
        <v>500</v>
      </c>
      <c r="E1353" s="4" t="str">
        <f>"Funcionário"</f>
        <v>Funcionário</v>
      </c>
    </row>
    <row r="1354" spans="1:5">
      <c r="A1354" s="4" t="str">
        <f t="shared" si="103"/>
        <v>5</v>
      </c>
      <c r="B1354" s="4" t="str">
        <f>"MARCOS ANTONIO ROSA"</f>
        <v>MARCOS ANTONIO ROSA</v>
      </c>
      <c r="C1354" s="4" t="str">
        <f>"OFICIAL DE PRODUCAO INDUSTRIAL"</f>
        <v>OFICIAL DE PRODUCAO INDUSTRIAL</v>
      </c>
      <c r="D1354" s="5">
        <v>500</v>
      </c>
      <c r="E1354" s="4" t="str">
        <f>"Funcionário"</f>
        <v>Funcionário</v>
      </c>
    </row>
    <row r="1355" spans="1:5">
      <c r="A1355" s="4" t="str">
        <f t="shared" si="103"/>
        <v>5</v>
      </c>
      <c r="B1355" s="4" t="str">
        <f>"MARCOS AURELIO DA SILVA"</f>
        <v>MARCOS AURELIO DA SILVA</v>
      </c>
      <c r="C1355" s="4" t="str">
        <f>"OFICIAL DE PRODUCAO INDUSTRIAL"</f>
        <v>OFICIAL DE PRODUCAO INDUSTRIAL</v>
      </c>
      <c r="D1355" s="5">
        <v>500</v>
      </c>
      <c r="E1355" s="4" t="str">
        <f>"Funcionário"</f>
        <v>Funcionário</v>
      </c>
    </row>
    <row r="1356" spans="1:5">
      <c r="A1356" s="4" t="str">
        <f t="shared" si="103"/>
        <v>5</v>
      </c>
      <c r="B1356" s="4" t="str">
        <f>"MARCOS DA SILVA VICENTE"</f>
        <v>MARCOS DA SILVA VICENTE</v>
      </c>
      <c r="C1356" s="4" t="str">
        <f>"OFICIAL DE PRODUCAO INDUSTRIAL"</f>
        <v>OFICIAL DE PRODUCAO INDUSTRIAL</v>
      </c>
      <c r="D1356" s="5">
        <v>500</v>
      </c>
      <c r="E1356" s="4" t="str">
        <f>"Aposentado"</f>
        <v>Aposentado</v>
      </c>
    </row>
    <row r="1357" spans="1:5">
      <c r="A1357" s="4" t="str">
        <f t="shared" si="103"/>
        <v>5</v>
      </c>
      <c r="B1357" s="4" t="str">
        <f>"MARCOS ROBERTO DA SILVA"</f>
        <v>MARCOS ROBERTO DA SILVA</v>
      </c>
      <c r="C1357" s="4" t="str">
        <f>"OFICIAL DE PRODUCAO INDUSTRIAL"</f>
        <v>OFICIAL DE PRODUCAO INDUSTRIAL</v>
      </c>
      <c r="D1357" s="5">
        <v>500</v>
      </c>
      <c r="E1357" s="4" t="str">
        <f>"Funcionário"</f>
        <v>Funcionário</v>
      </c>
    </row>
    <row r="1358" spans="1:5">
      <c r="A1358" s="4" t="str">
        <f t="shared" si="103"/>
        <v>5</v>
      </c>
      <c r="B1358" s="4" t="str">
        <f>"MARCOS ROBERTO LUZ PEREIRA"</f>
        <v>MARCOS ROBERTO LUZ PEREIRA</v>
      </c>
      <c r="C1358" s="4" t="str">
        <f>"OFICIAL DE PRODUCAO INDUSTRIAL"</f>
        <v>OFICIAL DE PRODUCAO INDUSTRIAL</v>
      </c>
      <c r="D1358" s="5">
        <v>500</v>
      </c>
      <c r="E1358" s="4" t="str">
        <f>"Funcionário"</f>
        <v>Funcionário</v>
      </c>
    </row>
    <row r="1359" spans="1:5">
      <c r="A1359" s="4" t="str">
        <f t="shared" si="103"/>
        <v>5</v>
      </c>
      <c r="B1359" s="4" t="str">
        <f>"MARCOS SEITI SUZUKI"</f>
        <v>MARCOS SEITI SUZUKI</v>
      </c>
      <c r="C1359" s="4" t="str">
        <f>"ENGENHEIRO"</f>
        <v>ENGENHEIRO</v>
      </c>
      <c r="D1359" s="5">
        <v>500</v>
      </c>
      <c r="E1359" s="4" t="str">
        <f>"Funcionário"</f>
        <v>Funcionário</v>
      </c>
    </row>
    <row r="1360" spans="1:5">
      <c r="A1360" s="4" t="str">
        <f t="shared" si="103"/>
        <v>5</v>
      </c>
      <c r="B1360" s="4" t="str">
        <f>"MARIA APARECIDA DA SILVA"</f>
        <v>MARIA APARECIDA DA SILVA</v>
      </c>
      <c r="C1360" s="4" t="str">
        <f>"AGENTE DE APOIO OPERACIONAL"</f>
        <v>AGENTE DE APOIO OPERACIONAL</v>
      </c>
      <c r="D1360" s="5">
        <v>500</v>
      </c>
      <c r="E1360" s="4" t="str">
        <f>"Funcionário"</f>
        <v>Funcionário</v>
      </c>
    </row>
    <row r="1361" spans="1:5">
      <c r="A1361" s="4" t="str">
        <f t="shared" si="103"/>
        <v>5</v>
      </c>
      <c r="B1361" s="4" t="str">
        <f>"MARIA APARECIDA DIAS ALVES"</f>
        <v>MARIA APARECIDA DIAS ALVES</v>
      </c>
      <c r="C1361" s="4" t="str">
        <f>"AUX TECNICO ADMINISTRATIVO"</f>
        <v>AUX TECNICO ADMINISTRATIVO</v>
      </c>
      <c r="D1361" s="5">
        <v>500</v>
      </c>
      <c r="E1361" s="4" t="str">
        <f>"Aposentado"</f>
        <v>Aposentado</v>
      </c>
    </row>
    <row r="1362" spans="1:5">
      <c r="A1362" s="4" t="str">
        <f t="shared" si="103"/>
        <v>5</v>
      </c>
      <c r="B1362" s="4" t="str">
        <f>"MARIA APARECIDA MARCELINO"</f>
        <v>MARIA APARECIDA MARCELINO</v>
      </c>
      <c r="C1362" s="4" t="str">
        <f>"OFICIAL DE PRODUCAO INDUSTRIAL"</f>
        <v>OFICIAL DE PRODUCAO INDUSTRIAL</v>
      </c>
      <c r="D1362" s="5">
        <v>500</v>
      </c>
      <c r="E1362" s="4" t="str">
        <f>"Funcionário"</f>
        <v>Funcionário</v>
      </c>
    </row>
    <row r="1363" spans="1:5">
      <c r="A1363" s="4" t="str">
        <f t="shared" si="103"/>
        <v>5</v>
      </c>
      <c r="B1363" s="4" t="str">
        <f>"MARIA CLARA VILAS BOAS"</f>
        <v>MARIA CLARA VILAS BOAS</v>
      </c>
      <c r="C1363" s="4" t="str">
        <f>"APRENDIZ- PRODUÇÃO"</f>
        <v>APRENDIZ- PRODUÇÃO</v>
      </c>
      <c r="D1363" s="5">
        <v>503</v>
      </c>
      <c r="E1363" s="4" t="str">
        <f>"Aprendiz"</f>
        <v>Aprendiz</v>
      </c>
    </row>
    <row r="1364" spans="1:5">
      <c r="A1364" s="4" t="str">
        <f t="shared" si="103"/>
        <v>5</v>
      </c>
      <c r="B1364" s="4" t="str">
        <f>"MARIA DAS DORES SILVA"</f>
        <v>MARIA DAS DORES SILVA</v>
      </c>
      <c r="C1364" s="4" t="str">
        <f>"OFICIAL DE PRODUCAO INDUSTRIAL"</f>
        <v>OFICIAL DE PRODUCAO INDUSTRIAL</v>
      </c>
      <c r="D1364" s="5">
        <v>500</v>
      </c>
      <c r="E1364" s="4" t="str">
        <f>"Funcionário"</f>
        <v>Funcionário</v>
      </c>
    </row>
    <row r="1365" spans="1:5">
      <c r="A1365" s="4" t="str">
        <f t="shared" si="103"/>
        <v>5</v>
      </c>
      <c r="B1365" s="4" t="str">
        <f>"MARIA DO CARMO BARNABE"</f>
        <v>MARIA DO CARMO BARNABE</v>
      </c>
      <c r="C1365" s="4" t="str">
        <f>"OFICIAL DE PRODUCAO INDUSTRIAL"</f>
        <v>OFICIAL DE PRODUCAO INDUSTRIAL</v>
      </c>
      <c r="D1365" s="5">
        <v>500</v>
      </c>
      <c r="E1365" s="4" t="str">
        <f>"Funcionário"</f>
        <v>Funcionário</v>
      </c>
    </row>
    <row r="1366" spans="1:5">
      <c r="A1366" s="4" t="str">
        <f t="shared" si="103"/>
        <v>5</v>
      </c>
      <c r="B1366" s="4" t="str">
        <f>"MARIA DO SOCORRO ALVES DOMINGOS E AZEVED"</f>
        <v>MARIA DO SOCORRO ALVES DOMINGOS E AZEVED</v>
      </c>
      <c r="C1366" s="4" t="str">
        <f>"OFICIAL DE PRODUCAO INDUSTRIAL"</f>
        <v>OFICIAL DE PRODUCAO INDUSTRIAL</v>
      </c>
      <c r="D1366" s="5">
        <v>500</v>
      </c>
      <c r="E1366" s="4" t="str">
        <f>"Funcionário"</f>
        <v>Funcionário</v>
      </c>
    </row>
    <row r="1367" spans="1:5">
      <c r="A1367" s="4" t="str">
        <f t="shared" si="103"/>
        <v>5</v>
      </c>
      <c r="B1367" s="4" t="str">
        <f>"MARIA EDUARDA PINHEIRO FREIRE"</f>
        <v>MARIA EDUARDA PINHEIRO FREIRE</v>
      </c>
      <c r="C1367" s="4" t="str">
        <f>"APRENDIZ- PRODUÇÃO"</f>
        <v>APRENDIZ- PRODUÇÃO</v>
      </c>
      <c r="D1367" s="5">
        <v>503</v>
      </c>
      <c r="E1367" s="4" t="str">
        <f>"Aprendiz"</f>
        <v>Aprendiz</v>
      </c>
    </row>
    <row r="1368" spans="1:5">
      <c r="A1368" s="4" t="str">
        <f t="shared" si="103"/>
        <v>5</v>
      </c>
      <c r="B1368" s="4" t="str">
        <f>"MARIA GABRIELA MOURA FARIA"</f>
        <v>MARIA GABRIELA MOURA FARIA</v>
      </c>
      <c r="C1368" s="4" t="str">
        <f>"OFICIAL DE PRODUCAO INDUSTRIAL"</f>
        <v>OFICIAL DE PRODUCAO INDUSTRIAL</v>
      </c>
      <c r="D1368" s="5">
        <v>500</v>
      </c>
      <c r="E1368" s="4" t="str">
        <f>"Funcionário"</f>
        <v>Funcionário</v>
      </c>
    </row>
    <row r="1369" spans="1:5">
      <c r="A1369" s="4" t="str">
        <f t="shared" si="103"/>
        <v>5</v>
      </c>
      <c r="B1369" s="4" t="str">
        <f>"MARIA PIEDADE ALBINO DA CRUZ"</f>
        <v>MARIA PIEDADE ALBINO DA CRUZ</v>
      </c>
      <c r="C1369" s="4" t="str">
        <f>"OFICIAL DE PRODUCAO INDUSTRIAL"</f>
        <v>OFICIAL DE PRODUCAO INDUSTRIAL</v>
      </c>
      <c r="D1369" s="5">
        <v>500</v>
      </c>
      <c r="E1369" s="4" t="str">
        <f>"Funcionário"</f>
        <v>Funcionário</v>
      </c>
    </row>
    <row r="1370" spans="1:5">
      <c r="A1370" s="4" t="str">
        <f t="shared" si="103"/>
        <v>5</v>
      </c>
      <c r="B1370" s="4" t="str">
        <f>"MARIA REGIANE DE SOUZA"</f>
        <v>MARIA REGIANE DE SOUZA</v>
      </c>
      <c r="C1370" s="4" t="str">
        <f>"OFICIAL DE PRODUCAO INDUSTRIAL"</f>
        <v>OFICIAL DE PRODUCAO INDUSTRIAL</v>
      </c>
      <c r="D1370" s="5">
        <v>500</v>
      </c>
      <c r="E1370" s="4" t="str">
        <f>"Funcionário"</f>
        <v>Funcionário</v>
      </c>
    </row>
    <row r="1371" spans="1:5">
      <c r="A1371" s="4" t="str">
        <f t="shared" si="103"/>
        <v>5</v>
      </c>
      <c r="B1371" s="4" t="str">
        <f>"MARIA RONIZE SIQUEIRA"</f>
        <v>MARIA RONIZE SIQUEIRA</v>
      </c>
      <c r="C1371" s="4" t="str">
        <f>"AGENTE DE APOIO OPERACIONAL"</f>
        <v>AGENTE DE APOIO OPERACIONAL</v>
      </c>
      <c r="D1371" s="5">
        <v>500</v>
      </c>
      <c r="E1371" s="4" t="str">
        <f>"Funcionário"</f>
        <v>Funcionário</v>
      </c>
    </row>
    <row r="1372" spans="1:5">
      <c r="A1372" s="4" t="str">
        <f t="shared" si="103"/>
        <v>5</v>
      </c>
      <c r="B1372" s="4" t="str">
        <f>"MARIA TERESINHA DE SOUZA SANTANA"</f>
        <v>MARIA TERESINHA DE SOUZA SANTANA</v>
      </c>
      <c r="C1372" s="4" t="str">
        <f>"AGENTE DE APOIO OPERACIONAL"</f>
        <v>AGENTE DE APOIO OPERACIONAL</v>
      </c>
      <c r="D1372" s="5">
        <v>500</v>
      </c>
      <c r="E1372" s="4" t="str">
        <f>"Funcionário"</f>
        <v>Funcionário</v>
      </c>
    </row>
    <row r="1373" spans="1:5">
      <c r="A1373" s="4" t="str">
        <f t="shared" si="103"/>
        <v>5</v>
      </c>
      <c r="B1373" s="4" t="str">
        <f>"MARIA VIRGINIA DA SILVA"</f>
        <v>MARIA VIRGINIA DA SILVA</v>
      </c>
      <c r="C1373" s="4" t="str">
        <f>"OFICIAL DE PRODUCAO INDUSTRIAL"</f>
        <v>OFICIAL DE PRODUCAO INDUSTRIAL</v>
      </c>
      <c r="D1373" s="5">
        <v>500</v>
      </c>
      <c r="E1373" s="4" t="str">
        <f>"Aposentado"</f>
        <v>Aposentado</v>
      </c>
    </row>
    <row r="1374" spans="1:5">
      <c r="A1374" s="4" t="str">
        <f t="shared" si="103"/>
        <v>5</v>
      </c>
      <c r="B1374" s="4" t="str">
        <f>"MARIA WANDERLY BARNABE"</f>
        <v>MARIA WANDERLY BARNABE</v>
      </c>
      <c r="C1374" s="4" t="str">
        <f>"OFICIAL DE PRODUCAO INDUSTRIAL"</f>
        <v>OFICIAL DE PRODUCAO INDUSTRIAL</v>
      </c>
      <c r="D1374" s="5">
        <v>500</v>
      </c>
      <c r="E1374" s="4" t="str">
        <f>"Funcionário"</f>
        <v>Funcionário</v>
      </c>
    </row>
    <row r="1375" spans="1:5">
      <c r="A1375" s="4" t="str">
        <f t="shared" si="103"/>
        <v>5</v>
      </c>
      <c r="B1375" s="4" t="str">
        <f>"MARIA ZILDA GOMES RAMOS"</f>
        <v>MARIA ZILDA GOMES RAMOS</v>
      </c>
      <c r="C1375" s="4" t="str">
        <f>"OPER PRODUCAO III"</f>
        <v>OPER PRODUCAO III</v>
      </c>
      <c r="D1375" s="5">
        <v>500</v>
      </c>
      <c r="E1375" s="4" t="str">
        <f>"Funcionário"</f>
        <v>Funcionário</v>
      </c>
    </row>
    <row r="1376" spans="1:5">
      <c r="A1376" s="4" t="str">
        <f t="shared" si="103"/>
        <v>5</v>
      </c>
      <c r="B1376" s="4" t="str">
        <f>"MARIANA DOS SANTOS CAVATTI"</f>
        <v>MARIANA DOS SANTOS CAVATTI</v>
      </c>
      <c r="C1376" s="4" t="str">
        <f>"ENGENHEIRO"</f>
        <v>ENGENHEIRO</v>
      </c>
      <c r="D1376" s="5">
        <v>500</v>
      </c>
      <c r="E1376" s="4" t="str">
        <f>"Funcionário"</f>
        <v>Funcionário</v>
      </c>
    </row>
    <row r="1377" spans="1:5">
      <c r="A1377" s="4" t="str">
        <f t="shared" si="103"/>
        <v>5</v>
      </c>
      <c r="B1377" s="4" t="str">
        <f>"MARIANA PRADO DANIEL"</f>
        <v>MARIANA PRADO DANIEL</v>
      </c>
      <c r="C1377" s="4" t="str">
        <f>"ANALISTA ESPECIALIZADO"</f>
        <v>ANALISTA ESPECIALIZADO</v>
      </c>
      <c r="D1377" s="5">
        <v>500</v>
      </c>
      <c r="E1377" s="4" t="str">
        <f>"Funcionário"</f>
        <v>Funcionário</v>
      </c>
    </row>
    <row r="1378" spans="1:5">
      <c r="A1378" s="4" t="str">
        <f t="shared" si="103"/>
        <v>5</v>
      </c>
      <c r="B1378" s="4" t="str">
        <f>"MARIANE CRISTINA GUEDES CORREA"</f>
        <v>MARIANE CRISTINA GUEDES CORREA</v>
      </c>
      <c r="C1378" s="4" t="str">
        <f>"APRENDIZ- PRODUÇÃO"</f>
        <v>APRENDIZ- PRODUÇÃO</v>
      </c>
      <c r="D1378" s="5">
        <v>503</v>
      </c>
      <c r="E1378" s="4" t="str">
        <f>"Aprendiz"</f>
        <v>Aprendiz</v>
      </c>
    </row>
    <row r="1379" spans="1:5">
      <c r="A1379" s="4" t="str">
        <f t="shared" si="103"/>
        <v>5</v>
      </c>
      <c r="B1379" s="4" t="str">
        <f>"MARILAINE OLIVEIRA DE LIMA SILVA"</f>
        <v>MARILAINE OLIVEIRA DE LIMA SILVA</v>
      </c>
      <c r="C1379" s="4" t="str">
        <f>"OFICIAL DE PRODUCAO INDUSTRIAL"</f>
        <v>OFICIAL DE PRODUCAO INDUSTRIAL</v>
      </c>
      <c r="D1379" s="5">
        <v>500</v>
      </c>
      <c r="E1379" s="4" t="str">
        <f>"Funcionário"</f>
        <v>Funcionário</v>
      </c>
    </row>
    <row r="1380" spans="1:5">
      <c r="A1380" s="4" t="str">
        <f t="shared" si="103"/>
        <v>5</v>
      </c>
      <c r="B1380" s="4" t="str">
        <f>"MARIO AUGUSTO RIBEIRO"</f>
        <v>MARIO AUGUSTO RIBEIRO</v>
      </c>
      <c r="C1380" s="4" t="str">
        <f>"OFICIAL DE PRODUCAO INDUSTRIAL"</f>
        <v>OFICIAL DE PRODUCAO INDUSTRIAL</v>
      </c>
      <c r="D1380" s="5">
        <v>500</v>
      </c>
      <c r="E1380" s="4" t="str">
        <f>"Funcionário"</f>
        <v>Funcionário</v>
      </c>
    </row>
    <row r="1381" spans="1:5">
      <c r="A1381" s="4" t="str">
        <f t="shared" si="103"/>
        <v>5</v>
      </c>
      <c r="B1381" s="4" t="str">
        <f>"MATHEUS DE ALMEIDA RIBEIRO REIS"</f>
        <v>MATHEUS DE ALMEIDA RIBEIRO REIS</v>
      </c>
      <c r="C1381" s="4" t="str">
        <f>"MILITAR DA ATIVA"</f>
        <v>MILITAR DA ATIVA</v>
      </c>
      <c r="D1381" s="5">
        <v>505</v>
      </c>
      <c r="E1381" s="4" t="str">
        <f>"Funcionário"</f>
        <v>Funcionário</v>
      </c>
    </row>
    <row r="1382" spans="1:5">
      <c r="A1382" s="4" t="str">
        <f t="shared" si="103"/>
        <v>5</v>
      </c>
      <c r="B1382" s="4" t="str">
        <f>"MATHEUS OLIVEIRA FUZINELLI SILVA"</f>
        <v>MATHEUS OLIVEIRA FUZINELLI SILVA</v>
      </c>
      <c r="C1382" s="4" t="str">
        <f>"Estagiario"</f>
        <v>Estagiario</v>
      </c>
      <c r="D1382" s="5">
        <v>502</v>
      </c>
      <c r="E1382" s="4" t="str">
        <f>"Estagiário"</f>
        <v>Estagiário</v>
      </c>
    </row>
    <row r="1383" spans="1:5">
      <c r="A1383" s="4" t="str">
        <f t="shared" si="103"/>
        <v>5</v>
      </c>
      <c r="B1383" s="4" t="str">
        <f>"MAURI DE SOUZA"</f>
        <v>MAURI DE SOUZA</v>
      </c>
      <c r="C1383" s="4" t="str">
        <f>"OFICIAL DE PRODUCAO INDUSTRIAL"</f>
        <v>OFICIAL DE PRODUCAO INDUSTRIAL</v>
      </c>
      <c r="D1383" s="5">
        <v>500</v>
      </c>
      <c r="E1383" s="4" t="str">
        <f>"Aposentado"</f>
        <v>Aposentado</v>
      </c>
    </row>
    <row r="1384" spans="1:5">
      <c r="A1384" s="4" t="str">
        <f t="shared" si="103"/>
        <v>5</v>
      </c>
      <c r="B1384" s="4" t="str">
        <f>"MAYCON ALEXANDRE DE CARVALHO"</f>
        <v>MAYCON ALEXANDRE DE CARVALHO</v>
      </c>
      <c r="C1384" s="4" t="str">
        <f>"OFICIAL DE PRODUCAO INDUSTRIAL"</f>
        <v>OFICIAL DE PRODUCAO INDUSTRIAL</v>
      </c>
      <c r="D1384" s="5">
        <v>500</v>
      </c>
      <c r="E1384" s="4" t="str">
        <f t="shared" ref="E1384:E1389" si="105">"Funcionário"</f>
        <v>Funcionário</v>
      </c>
    </row>
    <row r="1385" spans="1:5">
      <c r="A1385" s="4" t="str">
        <f t="shared" si="103"/>
        <v>5</v>
      </c>
      <c r="B1385" s="4" t="str">
        <f>"MERCIA ANDREIA DE JESUS ARAUJO"</f>
        <v>MERCIA ANDREIA DE JESUS ARAUJO</v>
      </c>
      <c r="C1385" s="4" t="str">
        <f>"AUX TECNICO ADMINISTRATIVO"</f>
        <v>AUX TECNICO ADMINISTRATIVO</v>
      </c>
      <c r="D1385" s="5">
        <v>500</v>
      </c>
      <c r="E1385" s="4" t="str">
        <f t="shared" si="105"/>
        <v>Funcionário</v>
      </c>
    </row>
    <row r="1386" spans="1:5">
      <c r="A1386" s="4" t="str">
        <f t="shared" ref="A1386:A1449" si="106">"5"</f>
        <v>5</v>
      </c>
      <c r="B1386" s="4" t="str">
        <f>"MESSIAS DE SOUZA RODRIGUES"</f>
        <v>MESSIAS DE SOUZA RODRIGUES</v>
      </c>
      <c r="C1386" s="4" t="str">
        <f>"OFICIAL DE PRODUCAO INDUSTRIAL"</f>
        <v>OFICIAL DE PRODUCAO INDUSTRIAL</v>
      </c>
      <c r="D1386" s="5">
        <v>500</v>
      </c>
      <c r="E1386" s="4" t="str">
        <f t="shared" si="105"/>
        <v>Funcionário</v>
      </c>
    </row>
    <row r="1387" spans="1:5">
      <c r="A1387" s="4" t="str">
        <f t="shared" si="106"/>
        <v>5</v>
      </c>
      <c r="B1387" s="4" t="str">
        <f>"MILENE ALINE DA SILVA"</f>
        <v>MILENE ALINE DA SILVA</v>
      </c>
      <c r="C1387" s="4" t="str">
        <f>"AUX TECNICO ADMINISTRATIVO"</f>
        <v>AUX TECNICO ADMINISTRATIVO</v>
      </c>
      <c r="D1387" s="5">
        <v>500</v>
      </c>
      <c r="E1387" s="4" t="str">
        <f t="shared" si="105"/>
        <v>Funcionário</v>
      </c>
    </row>
    <row r="1388" spans="1:5">
      <c r="A1388" s="4" t="str">
        <f t="shared" si="106"/>
        <v>5</v>
      </c>
      <c r="B1388" s="4" t="str">
        <f>"MILTON CESAR DA SILVA"</f>
        <v>MILTON CESAR DA SILVA</v>
      </c>
      <c r="C1388" s="4" t="str">
        <f>"OFICIAL DE PRODUCAO INDUSTRIAL"</f>
        <v>OFICIAL DE PRODUCAO INDUSTRIAL</v>
      </c>
      <c r="D1388" s="5">
        <v>500</v>
      </c>
      <c r="E1388" s="4" t="str">
        <f t="shared" si="105"/>
        <v>Funcionário</v>
      </c>
    </row>
    <row r="1389" spans="1:5">
      <c r="A1389" s="4" t="str">
        <f t="shared" si="106"/>
        <v>5</v>
      </c>
      <c r="B1389" s="4" t="str">
        <f>"MILTON RAFAEL DA SILVA"</f>
        <v>MILTON RAFAEL DA SILVA</v>
      </c>
      <c r="C1389" s="4" t="str">
        <f>"ENGENHEIRO"</f>
        <v>ENGENHEIRO</v>
      </c>
      <c r="D1389" s="5">
        <v>500</v>
      </c>
      <c r="E1389" s="4" t="str">
        <f t="shared" si="105"/>
        <v>Funcionário</v>
      </c>
    </row>
    <row r="1390" spans="1:5">
      <c r="A1390" s="4" t="str">
        <f t="shared" si="106"/>
        <v>5</v>
      </c>
      <c r="B1390" s="4" t="str">
        <f>"MIRIAN GORETE LEITE DE SOUZA"</f>
        <v>MIRIAN GORETE LEITE DE SOUZA</v>
      </c>
      <c r="C1390" s="4" t="str">
        <f>"AGENTE DE APOIO OPERACIONAL"</f>
        <v>AGENTE DE APOIO OPERACIONAL</v>
      </c>
      <c r="D1390" s="5">
        <v>500</v>
      </c>
      <c r="E1390" s="4" t="str">
        <f>"Aposentado"</f>
        <v>Aposentado</v>
      </c>
    </row>
    <row r="1391" spans="1:5">
      <c r="A1391" s="4" t="str">
        <f t="shared" si="106"/>
        <v>5</v>
      </c>
      <c r="B1391" s="4" t="str">
        <f>"MONICA GOMES DOS SANTOS"</f>
        <v>MONICA GOMES DOS SANTOS</v>
      </c>
      <c r="C1391" s="4" t="str">
        <f>"OFICIAL DE PRODUCAO INDUSTRIAL"</f>
        <v>OFICIAL DE PRODUCAO INDUSTRIAL</v>
      </c>
      <c r="D1391" s="5">
        <v>500</v>
      </c>
      <c r="E1391" s="4" t="str">
        <f>"Funcionário"</f>
        <v>Funcionário</v>
      </c>
    </row>
    <row r="1392" spans="1:5">
      <c r="A1392" s="4" t="str">
        <f t="shared" si="106"/>
        <v>5</v>
      </c>
      <c r="B1392" s="4" t="str">
        <f>"MONICA GRAZIELI CHAGAS"</f>
        <v>MONICA GRAZIELI CHAGAS</v>
      </c>
      <c r="C1392" s="4" t="str">
        <f>"ANALISTA ESPECIALIZADO"</f>
        <v>ANALISTA ESPECIALIZADO</v>
      </c>
      <c r="D1392" s="5">
        <v>500</v>
      </c>
      <c r="E1392" s="4" t="str">
        <f>"Funcionário"</f>
        <v>Funcionário</v>
      </c>
    </row>
    <row r="1393" spans="1:5">
      <c r="A1393" s="4" t="str">
        <f t="shared" si="106"/>
        <v>5</v>
      </c>
      <c r="B1393" s="4" t="str">
        <f>"MONIQUE RIBEIRO DE LIMA"</f>
        <v>MONIQUE RIBEIRO DE LIMA</v>
      </c>
      <c r="C1393" s="4" t="str">
        <f>"OFICIAL DE PRODUCAO INDUSTRIAL"</f>
        <v>OFICIAL DE PRODUCAO INDUSTRIAL</v>
      </c>
      <c r="D1393" s="5">
        <v>500</v>
      </c>
      <c r="E1393" s="4" t="str">
        <f>"Funcionário"</f>
        <v>Funcionário</v>
      </c>
    </row>
    <row r="1394" spans="1:5">
      <c r="A1394" s="4" t="str">
        <f t="shared" si="106"/>
        <v>5</v>
      </c>
      <c r="B1394" s="4" t="str">
        <f>"NARIO AUGUSTO MONTEIRO RITA"</f>
        <v>NARIO AUGUSTO MONTEIRO RITA</v>
      </c>
      <c r="C1394" s="4" t="str">
        <f>"OFICIAL DE PRODUCAO INDUSTRIAL"</f>
        <v>OFICIAL DE PRODUCAO INDUSTRIAL</v>
      </c>
      <c r="D1394" s="5">
        <v>500</v>
      </c>
      <c r="E1394" s="4" t="str">
        <f>"Aposentado"</f>
        <v>Aposentado</v>
      </c>
    </row>
    <row r="1395" spans="1:5">
      <c r="A1395" s="4" t="str">
        <f t="shared" si="106"/>
        <v>5</v>
      </c>
      <c r="B1395" s="4" t="str">
        <f>"NATALINO DOMINGOS DA SILVA"</f>
        <v>NATALINO DOMINGOS DA SILVA</v>
      </c>
      <c r="C1395" s="4" t="str">
        <f>"OFICIAL DE PRODUCAO INDUSTRIAL"</f>
        <v>OFICIAL DE PRODUCAO INDUSTRIAL</v>
      </c>
      <c r="D1395" s="5">
        <v>500</v>
      </c>
      <c r="E1395" s="4" t="str">
        <f>"Aposentado"</f>
        <v>Aposentado</v>
      </c>
    </row>
    <row r="1396" spans="1:5">
      <c r="A1396" s="4" t="str">
        <f t="shared" si="106"/>
        <v>5</v>
      </c>
      <c r="B1396" s="4" t="str">
        <f>"NAYARA VILAS BOAS NUNES"</f>
        <v>NAYARA VILAS BOAS NUNES</v>
      </c>
      <c r="C1396" s="4" t="str">
        <f>"TEC INDUSTRIAL ESPECIALIZADO"</f>
        <v>TEC INDUSTRIAL ESPECIALIZADO</v>
      </c>
      <c r="D1396" s="5">
        <v>500</v>
      </c>
      <c r="E1396" s="4" t="str">
        <f>"Funcionário"</f>
        <v>Funcionário</v>
      </c>
    </row>
    <row r="1397" spans="1:5">
      <c r="A1397" s="4" t="str">
        <f t="shared" si="106"/>
        <v>5</v>
      </c>
      <c r="B1397" s="4" t="str">
        <f>"NEIVALDO MONTEIRO"</f>
        <v>NEIVALDO MONTEIRO</v>
      </c>
      <c r="C1397" s="4" t="str">
        <f>"OFICIAL DE PRODUCAO INDUSTRIAL"</f>
        <v>OFICIAL DE PRODUCAO INDUSTRIAL</v>
      </c>
      <c r="D1397" s="5">
        <v>500</v>
      </c>
      <c r="E1397" s="4" t="str">
        <f>"Aposentado"</f>
        <v>Aposentado</v>
      </c>
    </row>
    <row r="1398" spans="1:5">
      <c r="A1398" s="4" t="str">
        <f t="shared" si="106"/>
        <v>5</v>
      </c>
      <c r="B1398" s="4" t="str">
        <f>"NELCIDES RIBEIRO DE CARVALHO"</f>
        <v>NELCIDES RIBEIRO DE CARVALHO</v>
      </c>
      <c r="C1398" s="4" t="str">
        <f>"OFICIAL DE PRODUCAO INDUSTRIAL"</f>
        <v>OFICIAL DE PRODUCAO INDUSTRIAL</v>
      </c>
      <c r="D1398" s="5">
        <v>500</v>
      </c>
      <c r="E1398" s="4" t="str">
        <f>"Aposentado"</f>
        <v>Aposentado</v>
      </c>
    </row>
    <row r="1399" spans="1:5">
      <c r="A1399" s="4" t="str">
        <f t="shared" si="106"/>
        <v>5</v>
      </c>
      <c r="B1399" s="4" t="str">
        <f>"NELSON ANTONIO BAPTISTA"</f>
        <v>NELSON ANTONIO BAPTISTA</v>
      </c>
      <c r="C1399" s="4" t="str">
        <f>"OFICIAL DE PRODUCAO INDUSTRIAL"</f>
        <v>OFICIAL DE PRODUCAO INDUSTRIAL</v>
      </c>
      <c r="D1399" s="5">
        <v>500</v>
      </c>
      <c r="E1399" s="4" t="str">
        <f>"Aposentado"</f>
        <v>Aposentado</v>
      </c>
    </row>
    <row r="1400" spans="1:5">
      <c r="A1400" s="4" t="str">
        <f t="shared" si="106"/>
        <v>5</v>
      </c>
      <c r="B1400" s="4" t="str">
        <f>"NEUSA INOCENCIO PAES MARTINS"</f>
        <v>NEUSA INOCENCIO PAES MARTINS</v>
      </c>
      <c r="C1400" s="4" t="str">
        <f>"OFICIAL DE PRODUCAO INDUSTRIAL"</f>
        <v>OFICIAL DE PRODUCAO INDUSTRIAL</v>
      </c>
      <c r="D1400" s="5">
        <v>500</v>
      </c>
      <c r="E1400" s="4" t="str">
        <f>"Aposentado"</f>
        <v>Aposentado</v>
      </c>
    </row>
    <row r="1401" spans="1:5">
      <c r="A1401" s="4" t="str">
        <f t="shared" si="106"/>
        <v>5</v>
      </c>
      <c r="B1401" s="4" t="str">
        <f>"NEWTON CARLOS PEREIRA GALVAO"</f>
        <v>NEWTON CARLOS PEREIRA GALVAO</v>
      </c>
      <c r="C1401" s="4" t="str">
        <f>"AUX TECNICO ADMINISTRATIVO"</f>
        <v>AUX TECNICO ADMINISTRATIVO</v>
      </c>
      <c r="D1401" s="5">
        <v>500</v>
      </c>
      <c r="E1401" s="4" t="str">
        <f>"Funcionário"</f>
        <v>Funcionário</v>
      </c>
    </row>
    <row r="1402" spans="1:5">
      <c r="A1402" s="4" t="str">
        <f t="shared" si="106"/>
        <v>5</v>
      </c>
      <c r="B1402" s="4" t="str">
        <f>"NEWTON CESAR RIBEIRO"</f>
        <v>NEWTON CESAR RIBEIRO</v>
      </c>
      <c r="C1402" s="4" t="str">
        <f>"TEC INDUSTRIAL ESPECIALIZADO"</f>
        <v>TEC INDUSTRIAL ESPECIALIZADO</v>
      </c>
      <c r="D1402" s="5">
        <v>500</v>
      </c>
      <c r="E1402" s="4" t="str">
        <f>"Funcionário"</f>
        <v>Funcionário</v>
      </c>
    </row>
    <row r="1403" spans="1:5">
      <c r="A1403" s="4" t="str">
        <f t="shared" si="106"/>
        <v>5</v>
      </c>
      <c r="B1403" s="4" t="str">
        <f>"NEWTON CUNNINGHAM BRAGA MOSTERIO"</f>
        <v>NEWTON CUNNINGHAM BRAGA MOSTERIO</v>
      </c>
      <c r="C1403" s="4" t="str">
        <f>"ENGENHEIRO"</f>
        <v>ENGENHEIRO</v>
      </c>
      <c r="D1403" s="5">
        <v>500</v>
      </c>
      <c r="E1403" s="4" t="str">
        <f>"Funcionário"</f>
        <v>Funcionário</v>
      </c>
    </row>
    <row r="1404" spans="1:5">
      <c r="A1404" s="4" t="str">
        <f t="shared" si="106"/>
        <v>5</v>
      </c>
      <c r="B1404" s="4" t="str">
        <f>"NILSON FRANCISCO GONCALVES"</f>
        <v>NILSON FRANCISCO GONCALVES</v>
      </c>
      <c r="C1404" s="4" t="str">
        <f>"AGENTE DE APOIO OPERACIONAL"</f>
        <v>AGENTE DE APOIO OPERACIONAL</v>
      </c>
      <c r="D1404" s="5">
        <v>500</v>
      </c>
      <c r="E1404" s="4" t="str">
        <f>"Funcionário"</f>
        <v>Funcionário</v>
      </c>
    </row>
    <row r="1405" spans="1:5">
      <c r="A1405" s="4" t="str">
        <f t="shared" si="106"/>
        <v>5</v>
      </c>
      <c r="B1405" s="4" t="str">
        <f>"OLIVEIRA DOMICIANO DE SOUZA"</f>
        <v>OLIVEIRA DOMICIANO DE SOUZA</v>
      </c>
      <c r="C1405" s="4" t="str">
        <f>"OF FERRAMENTARIA INDUSTRIAL"</f>
        <v>OF FERRAMENTARIA INDUSTRIAL</v>
      </c>
      <c r="D1405" s="5">
        <v>500</v>
      </c>
      <c r="E1405" s="4" t="str">
        <f>"Aposentado"</f>
        <v>Aposentado</v>
      </c>
    </row>
    <row r="1406" spans="1:5">
      <c r="A1406" s="4" t="str">
        <f t="shared" si="106"/>
        <v>5</v>
      </c>
      <c r="B1406" s="4" t="str">
        <f>"OMAR TUMAS"</f>
        <v>OMAR TUMAS</v>
      </c>
      <c r="C1406" s="4" t="str">
        <f>"CHEFE DE UNIDADE III"</f>
        <v>CHEFE DE UNIDADE III</v>
      </c>
      <c r="D1406" s="5">
        <v>501</v>
      </c>
      <c r="E1406" s="4" t="str">
        <f>"Funcionário"</f>
        <v>Funcionário</v>
      </c>
    </row>
    <row r="1407" spans="1:5">
      <c r="A1407" s="4" t="str">
        <f t="shared" si="106"/>
        <v>5</v>
      </c>
      <c r="B1407" s="4" t="str">
        <f>"ORLANDO MARTINS DE SOUZA"</f>
        <v>ORLANDO MARTINS DE SOUZA</v>
      </c>
      <c r="C1407" s="4" t="str">
        <f>"ELETRICISTA DE MANUT. III"</f>
        <v>ELETRICISTA DE MANUT. III</v>
      </c>
      <c r="D1407" s="5">
        <v>500</v>
      </c>
      <c r="E1407" s="4" t="str">
        <f>"Funcionário"</f>
        <v>Funcionário</v>
      </c>
    </row>
    <row r="1408" spans="1:5">
      <c r="A1408" s="4" t="str">
        <f t="shared" si="106"/>
        <v>5</v>
      </c>
      <c r="B1408" s="4" t="str">
        <f>"OSCAR FERNANDO RIBEIRO"</f>
        <v>OSCAR FERNANDO RIBEIRO</v>
      </c>
      <c r="C1408" s="4" t="str">
        <f>"OFICIAL DE PRODUCAO INDUSTRIAL"</f>
        <v>OFICIAL DE PRODUCAO INDUSTRIAL</v>
      </c>
      <c r="D1408" s="5">
        <v>500</v>
      </c>
      <c r="E1408" s="4" t="str">
        <f>"Funcionário"</f>
        <v>Funcionário</v>
      </c>
    </row>
    <row r="1409" spans="1:5">
      <c r="A1409" s="4" t="str">
        <f t="shared" si="106"/>
        <v>5</v>
      </c>
      <c r="B1409" s="4" t="str">
        <f>"OTACILIO VELOSO DIAS"</f>
        <v>OTACILIO VELOSO DIAS</v>
      </c>
      <c r="C1409" s="4" t="str">
        <f>"OFICIAL DE PRODUCAO INDUSTRIAL"</f>
        <v>OFICIAL DE PRODUCAO INDUSTRIAL</v>
      </c>
      <c r="D1409" s="5">
        <v>500</v>
      </c>
      <c r="E1409" s="4" t="str">
        <f>"Aposentado"</f>
        <v>Aposentado</v>
      </c>
    </row>
    <row r="1410" spans="1:5">
      <c r="A1410" s="4" t="str">
        <f t="shared" si="106"/>
        <v>5</v>
      </c>
      <c r="B1410" s="4" t="str">
        <f>"OTHAVIO TAVARES SILVA"</f>
        <v>OTHAVIO TAVARES SILVA</v>
      </c>
      <c r="C1410" s="4" t="str">
        <f>"AGENTE DE APOIO OPERACIONAL"</f>
        <v>AGENTE DE APOIO OPERACIONAL</v>
      </c>
      <c r="D1410" s="5">
        <v>500</v>
      </c>
      <c r="E1410" s="4" t="str">
        <f>"Funcionário"</f>
        <v>Funcionário</v>
      </c>
    </row>
    <row r="1411" spans="1:5">
      <c r="A1411" s="4" t="str">
        <f t="shared" si="106"/>
        <v>5</v>
      </c>
      <c r="B1411" s="4" t="str">
        <f>"PABLO RAMON SILVA"</f>
        <v>PABLO RAMON SILVA</v>
      </c>
      <c r="C1411" s="4" t="str">
        <f>"OF FERRAMENTARIA INDUSTRIAL"</f>
        <v>OF FERRAMENTARIA INDUSTRIAL</v>
      </c>
      <c r="D1411" s="5">
        <v>500</v>
      </c>
      <c r="E1411" s="4" t="str">
        <f>"Funcionário"</f>
        <v>Funcionário</v>
      </c>
    </row>
    <row r="1412" spans="1:5">
      <c r="A1412" s="4" t="str">
        <f t="shared" si="106"/>
        <v>5</v>
      </c>
      <c r="B1412" s="4" t="str">
        <f>"PATRICIA MARA DA SILVA PAIXAO"</f>
        <v>PATRICIA MARA DA SILVA PAIXAO</v>
      </c>
      <c r="C1412" s="4" t="str">
        <f>"OFICIAL DE PRODUCAO INDUSTRIAL"</f>
        <v>OFICIAL DE PRODUCAO INDUSTRIAL</v>
      </c>
      <c r="D1412" s="5">
        <v>500</v>
      </c>
      <c r="E1412" s="4" t="str">
        <f>"Funcionário"</f>
        <v>Funcionário</v>
      </c>
    </row>
    <row r="1413" spans="1:5">
      <c r="A1413" s="4" t="str">
        <f t="shared" si="106"/>
        <v>5</v>
      </c>
      <c r="B1413" s="4" t="str">
        <f>"PAULINO BENEDITO SAMPAIO EUFRASIO"</f>
        <v>PAULINO BENEDITO SAMPAIO EUFRASIO</v>
      </c>
      <c r="C1413" s="4" t="str">
        <f>"OFICIAL DE PRODUCAO INDUSTRIAL"</f>
        <v>OFICIAL DE PRODUCAO INDUSTRIAL</v>
      </c>
      <c r="D1413" s="5">
        <v>500</v>
      </c>
      <c r="E1413" s="4" t="str">
        <f>"Funcionário"</f>
        <v>Funcionário</v>
      </c>
    </row>
    <row r="1414" spans="1:5">
      <c r="A1414" s="4" t="str">
        <f t="shared" si="106"/>
        <v>5</v>
      </c>
      <c r="B1414" s="4" t="str">
        <f>"PAULO AFONSO DA ROSA"</f>
        <v>PAULO AFONSO DA ROSA</v>
      </c>
      <c r="C1414" s="4" t="str">
        <f>"TEC INDUSTRIAL ESPECIALIZADO"</f>
        <v>TEC INDUSTRIAL ESPECIALIZADO</v>
      </c>
      <c r="D1414" s="5">
        <v>500</v>
      </c>
      <c r="E1414" s="4" t="str">
        <f>"Aposentado"</f>
        <v>Aposentado</v>
      </c>
    </row>
    <row r="1415" spans="1:5">
      <c r="A1415" s="4" t="str">
        <f t="shared" si="106"/>
        <v>5</v>
      </c>
      <c r="B1415" s="4" t="str">
        <f>"PAULO CESAR DA SILVA"</f>
        <v>PAULO CESAR DA SILVA</v>
      </c>
      <c r="C1415" s="4" t="str">
        <f>"TEC INDUSTRIAL ESPECIALIZADO"</f>
        <v>TEC INDUSTRIAL ESPECIALIZADO</v>
      </c>
      <c r="D1415" s="5">
        <v>500</v>
      </c>
      <c r="E1415" s="4" t="str">
        <f>"Aposentado"</f>
        <v>Aposentado</v>
      </c>
    </row>
    <row r="1416" spans="1:5">
      <c r="A1416" s="4" t="str">
        <f t="shared" si="106"/>
        <v>5</v>
      </c>
      <c r="B1416" s="4" t="str">
        <f>"PAULO CESAR PEREIRA"</f>
        <v>PAULO CESAR PEREIRA</v>
      </c>
      <c r="C1416" s="4" t="str">
        <f>"OF FERRAMENTARIA INDUSTRIAL"</f>
        <v>OF FERRAMENTARIA INDUSTRIAL</v>
      </c>
      <c r="D1416" s="5">
        <v>500</v>
      </c>
      <c r="E1416" s="4" t="str">
        <f>"Funcionário"</f>
        <v>Funcionário</v>
      </c>
    </row>
    <row r="1417" spans="1:5">
      <c r="A1417" s="4" t="str">
        <f t="shared" si="106"/>
        <v>5</v>
      </c>
      <c r="B1417" s="4" t="str">
        <f>"PAULO CEZAR GUIMARAES"</f>
        <v>PAULO CEZAR GUIMARAES</v>
      </c>
      <c r="C1417" s="4" t="str">
        <f>"AGENTE DE APOIO OPERACIONAL"</f>
        <v>AGENTE DE APOIO OPERACIONAL</v>
      </c>
      <c r="D1417" s="5">
        <v>500</v>
      </c>
      <c r="E1417" s="4" t="str">
        <f>"Funcionário"</f>
        <v>Funcionário</v>
      </c>
    </row>
    <row r="1418" spans="1:5">
      <c r="A1418" s="4" t="str">
        <f t="shared" si="106"/>
        <v>5</v>
      </c>
      <c r="B1418" s="4" t="str">
        <f>"PAULO EDUARDO DA SILVA"</f>
        <v>PAULO EDUARDO DA SILVA</v>
      </c>
      <c r="C1418" s="4" t="str">
        <f>"TECNICO ADM ESPECIALIZADO"</f>
        <v>TECNICO ADM ESPECIALIZADO</v>
      </c>
      <c r="D1418" s="5">
        <v>500</v>
      </c>
      <c r="E1418" s="4" t="str">
        <f>"Funcionário"</f>
        <v>Funcionário</v>
      </c>
    </row>
    <row r="1419" spans="1:5">
      <c r="A1419" s="4" t="str">
        <f t="shared" si="106"/>
        <v>5</v>
      </c>
      <c r="B1419" s="4" t="str">
        <f>"PAULO HENRIQUE DA SILVA"</f>
        <v>PAULO HENRIQUE DA SILVA</v>
      </c>
      <c r="C1419" s="4" t="str">
        <f>"OFICIAL DE PRODUCAO INDUSTRIAL"</f>
        <v>OFICIAL DE PRODUCAO INDUSTRIAL</v>
      </c>
      <c r="D1419" s="5">
        <v>500</v>
      </c>
      <c r="E1419" s="4" t="str">
        <f>"Aposentado"</f>
        <v>Aposentado</v>
      </c>
    </row>
    <row r="1420" spans="1:5">
      <c r="A1420" s="4" t="str">
        <f t="shared" si="106"/>
        <v>5</v>
      </c>
      <c r="B1420" s="4" t="str">
        <f>"PAULO HENRIQUE DOS SANTOS"</f>
        <v>PAULO HENRIQUE DOS SANTOS</v>
      </c>
      <c r="C1420" s="4" t="str">
        <f>"OFICIAL DE PRODUCAO INDUSTRIAL"</f>
        <v>OFICIAL DE PRODUCAO INDUSTRIAL</v>
      </c>
      <c r="D1420" s="5">
        <v>500</v>
      </c>
      <c r="E1420" s="4" t="str">
        <f>"Aposentado"</f>
        <v>Aposentado</v>
      </c>
    </row>
    <row r="1421" spans="1:5">
      <c r="A1421" s="4" t="str">
        <f t="shared" si="106"/>
        <v>5</v>
      </c>
      <c r="B1421" s="4" t="str">
        <f>"PAULO MARCOS ARAUJO"</f>
        <v>PAULO MARCOS ARAUJO</v>
      </c>
      <c r="C1421" s="4" t="str">
        <f>"OFICIAL DE PRODUCAO INDUSTRIAL"</f>
        <v>OFICIAL DE PRODUCAO INDUSTRIAL</v>
      </c>
      <c r="D1421" s="5">
        <v>500</v>
      </c>
      <c r="E1421" s="4" t="str">
        <f>"Funcionário"</f>
        <v>Funcionário</v>
      </c>
    </row>
    <row r="1422" spans="1:5">
      <c r="A1422" s="4" t="str">
        <f t="shared" si="106"/>
        <v>5</v>
      </c>
      <c r="B1422" s="4" t="str">
        <f>"PAULO ROBERTO MAXIMIANO"</f>
        <v>PAULO ROBERTO MAXIMIANO</v>
      </c>
      <c r="C1422" s="4" t="str">
        <f>"AUXILIAR TECNICO INDUSTRIAL"</f>
        <v>AUXILIAR TECNICO INDUSTRIAL</v>
      </c>
      <c r="D1422" s="5">
        <v>500</v>
      </c>
      <c r="E1422" s="4" t="str">
        <f>"Funcionário"</f>
        <v>Funcionário</v>
      </c>
    </row>
    <row r="1423" spans="1:5">
      <c r="A1423" s="4" t="str">
        <f t="shared" si="106"/>
        <v>5</v>
      </c>
      <c r="B1423" s="4" t="str">
        <f>"PAULO RODOLFO SIMAO"</f>
        <v>PAULO RODOLFO SIMAO</v>
      </c>
      <c r="C1423" s="4" t="str">
        <f>"OFICIAL DE PRODUCAO INDUSTRIAL"</f>
        <v>OFICIAL DE PRODUCAO INDUSTRIAL</v>
      </c>
      <c r="D1423" s="5">
        <v>500</v>
      </c>
      <c r="E1423" s="4" t="str">
        <f>"Funcionário"</f>
        <v>Funcionário</v>
      </c>
    </row>
    <row r="1424" spans="1:5">
      <c r="A1424" s="4" t="str">
        <f t="shared" si="106"/>
        <v>5</v>
      </c>
      <c r="B1424" s="4" t="str">
        <f>"PAULO RODRIGUES DE SOUZA"</f>
        <v>PAULO RODRIGUES DE SOUZA</v>
      </c>
      <c r="C1424" s="4" t="str">
        <f>"OFICIAL DE PRODUCAO INDUSTRIAL"</f>
        <v>OFICIAL DE PRODUCAO INDUSTRIAL</v>
      </c>
      <c r="D1424" s="5">
        <v>500</v>
      </c>
      <c r="E1424" s="4" t="str">
        <f>"Aposentado"</f>
        <v>Aposentado</v>
      </c>
    </row>
    <row r="1425" spans="1:5">
      <c r="A1425" s="4" t="str">
        <f t="shared" si="106"/>
        <v>5</v>
      </c>
      <c r="B1425" s="4" t="str">
        <f>"PAULO SERGIO RODRIGUES"</f>
        <v>PAULO SERGIO RODRIGUES</v>
      </c>
      <c r="C1425" s="4" t="str">
        <f>"OFICIAL DE PRODUCAO INDUSTRIAL"</f>
        <v>OFICIAL DE PRODUCAO INDUSTRIAL</v>
      </c>
      <c r="D1425" s="5">
        <v>500</v>
      </c>
      <c r="E1425" s="4" t="str">
        <f>"Aposentado"</f>
        <v>Aposentado</v>
      </c>
    </row>
    <row r="1426" spans="1:5">
      <c r="A1426" s="4" t="str">
        <f t="shared" si="106"/>
        <v>5</v>
      </c>
      <c r="B1426" s="4" t="str">
        <f>"PAULO VIEIRA DA SILVA"</f>
        <v>PAULO VIEIRA DA SILVA</v>
      </c>
      <c r="C1426" s="4" t="str">
        <f>"OF FERRAMENTARIA INDUSTRIAL"</f>
        <v>OF FERRAMENTARIA INDUSTRIAL</v>
      </c>
      <c r="D1426" s="5">
        <v>500</v>
      </c>
      <c r="E1426" s="4" t="str">
        <f>"Funcionário"</f>
        <v>Funcionário</v>
      </c>
    </row>
    <row r="1427" spans="1:5">
      <c r="A1427" s="4" t="str">
        <f t="shared" si="106"/>
        <v>5</v>
      </c>
      <c r="B1427" s="4" t="str">
        <f>"PEDRO CHAGAS"</f>
        <v>PEDRO CHAGAS</v>
      </c>
      <c r="C1427" s="4" t="str">
        <f>"AUXILIAR TECNICO INDUSTRIAL"</f>
        <v>AUXILIAR TECNICO INDUSTRIAL</v>
      </c>
      <c r="D1427" s="5">
        <v>500</v>
      </c>
      <c r="E1427" s="4" t="str">
        <f>"Aposentado"</f>
        <v>Aposentado</v>
      </c>
    </row>
    <row r="1428" spans="1:5">
      <c r="A1428" s="4" t="str">
        <f t="shared" si="106"/>
        <v>5</v>
      </c>
      <c r="B1428" s="4" t="str">
        <f>"PEDRO CLASSIANO RODRIGUES"</f>
        <v>PEDRO CLASSIANO RODRIGUES</v>
      </c>
      <c r="C1428" s="4" t="str">
        <f>"OFICIAL DE PRODUCAO INDUSTRIAL"</f>
        <v>OFICIAL DE PRODUCAO INDUSTRIAL</v>
      </c>
      <c r="D1428" s="5">
        <v>500</v>
      </c>
      <c r="E1428" s="4" t="str">
        <f>"Funcionário"</f>
        <v>Funcionário</v>
      </c>
    </row>
    <row r="1429" spans="1:5">
      <c r="A1429" s="4" t="str">
        <f t="shared" si="106"/>
        <v>5</v>
      </c>
      <c r="B1429" s="4" t="str">
        <f>"PEDRO DONIZETE LEITE"</f>
        <v>PEDRO DONIZETE LEITE</v>
      </c>
      <c r="C1429" s="4" t="str">
        <f>"AGENTE DE APOIO OPERACIONAL"</f>
        <v>AGENTE DE APOIO OPERACIONAL</v>
      </c>
      <c r="D1429" s="5">
        <v>500</v>
      </c>
      <c r="E1429" s="4" t="str">
        <f>"Funcionário"</f>
        <v>Funcionário</v>
      </c>
    </row>
    <row r="1430" spans="1:5">
      <c r="A1430" s="4" t="str">
        <f t="shared" si="106"/>
        <v>5</v>
      </c>
      <c r="B1430" s="4" t="str">
        <f>"PEDRO PAULO MENDONCA"</f>
        <v>PEDRO PAULO MENDONCA</v>
      </c>
      <c r="C1430" s="4" t="str">
        <f>"OFICIAL DE PRODUCAO INDUSTRIAL"</f>
        <v>OFICIAL DE PRODUCAO INDUSTRIAL</v>
      </c>
      <c r="D1430" s="5">
        <v>500</v>
      </c>
      <c r="E1430" s="4" t="str">
        <f>"Aposentado"</f>
        <v>Aposentado</v>
      </c>
    </row>
    <row r="1431" spans="1:5">
      <c r="A1431" s="4" t="str">
        <f t="shared" si="106"/>
        <v>5</v>
      </c>
      <c r="B1431" s="4" t="str">
        <f>"PEDRO PAULO RODRIGUES LIRIO"</f>
        <v>PEDRO PAULO RODRIGUES LIRIO</v>
      </c>
      <c r="C1431" s="4" t="str">
        <f>"OFICIAL DE PRODUCAO INDUSTRIAL"</f>
        <v>OFICIAL DE PRODUCAO INDUSTRIAL</v>
      </c>
      <c r="D1431" s="5">
        <v>500</v>
      </c>
      <c r="E1431" s="4" t="str">
        <f>"Funcionário"</f>
        <v>Funcionário</v>
      </c>
    </row>
    <row r="1432" spans="1:5">
      <c r="A1432" s="4" t="str">
        <f t="shared" si="106"/>
        <v>5</v>
      </c>
      <c r="B1432" s="4" t="str">
        <f>"PEDRO RAIMUNDO BITENCOURT"</f>
        <v>PEDRO RAIMUNDO BITENCOURT</v>
      </c>
      <c r="C1432" s="4" t="str">
        <f>"OFICIAL DE PRODUCAO INDUSTRIAL"</f>
        <v>OFICIAL DE PRODUCAO INDUSTRIAL</v>
      </c>
      <c r="D1432" s="5">
        <v>500</v>
      </c>
      <c r="E1432" s="4" t="str">
        <f>"Aposentado"</f>
        <v>Aposentado</v>
      </c>
    </row>
    <row r="1433" spans="1:5">
      <c r="A1433" s="4" t="str">
        <f t="shared" si="106"/>
        <v>5</v>
      </c>
      <c r="B1433" s="4" t="str">
        <f>"PEDRO REGINALDO DA SILVA"</f>
        <v>PEDRO REGINALDO DA SILVA</v>
      </c>
      <c r="C1433" s="4" t="str">
        <f>"AUXILIAR TECNICO INDUSTRIAL"</f>
        <v>AUXILIAR TECNICO INDUSTRIAL</v>
      </c>
      <c r="D1433" s="5">
        <v>500</v>
      </c>
      <c r="E1433" s="4" t="str">
        <f>"Funcionário"</f>
        <v>Funcionário</v>
      </c>
    </row>
    <row r="1434" spans="1:5">
      <c r="A1434" s="4" t="str">
        <f t="shared" si="106"/>
        <v>5</v>
      </c>
      <c r="B1434" s="4" t="str">
        <f>"PEDRO RILDO DE PAULO"</f>
        <v>PEDRO RILDO DE PAULO</v>
      </c>
      <c r="C1434" s="4" t="str">
        <f>"OFICIAL DE PRODUCAO INDUSTRIAL"</f>
        <v>OFICIAL DE PRODUCAO INDUSTRIAL</v>
      </c>
      <c r="D1434" s="5">
        <v>500</v>
      </c>
      <c r="E1434" s="4" t="str">
        <f>"Aposentado"</f>
        <v>Aposentado</v>
      </c>
    </row>
    <row r="1435" spans="1:5">
      <c r="A1435" s="4" t="str">
        <f t="shared" si="106"/>
        <v>5</v>
      </c>
      <c r="B1435" s="4" t="str">
        <f>"PEDRO VICTOR DOS SANTOS RAMOS"</f>
        <v>PEDRO VICTOR DOS SANTOS RAMOS</v>
      </c>
      <c r="C1435" s="4" t="str">
        <f>"APRENDIZ- PRODUÇÃO"</f>
        <v>APRENDIZ- PRODUÇÃO</v>
      </c>
      <c r="D1435" s="5">
        <v>503</v>
      </c>
      <c r="E1435" s="4" t="str">
        <f>"Aprendiz"</f>
        <v>Aprendiz</v>
      </c>
    </row>
    <row r="1436" spans="1:5">
      <c r="A1436" s="4" t="str">
        <f t="shared" si="106"/>
        <v>5</v>
      </c>
      <c r="B1436" s="4" t="str">
        <f>"PERCELIA JULIANA DOS SANTOS FAUSTINO"</f>
        <v>PERCELIA JULIANA DOS SANTOS FAUSTINO</v>
      </c>
      <c r="C1436" s="4" t="str">
        <f>"AUX TECNICO ADMINISTRATIVO"</f>
        <v>AUX TECNICO ADMINISTRATIVO</v>
      </c>
      <c r="D1436" s="5">
        <v>500</v>
      </c>
      <c r="E1436" s="4" t="str">
        <f>"Funcionário"</f>
        <v>Funcionário</v>
      </c>
    </row>
    <row r="1437" spans="1:5">
      <c r="A1437" s="4" t="str">
        <f t="shared" si="106"/>
        <v>5</v>
      </c>
      <c r="B1437" s="4" t="str">
        <f>"PERLA TATIANA RIBEIRO DOS SANTOS PEDROSO"</f>
        <v>PERLA TATIANA RIBEIRO DOS SANTOS PEDROSO</v>
      </c>
      <c r="C1437" s="4" t="str">
        <f>"AUX TECNICO ADMINISTRATIVO"</f>
        <v>AUX TECNICO ADMINISTRATIVO</v>
      </c>
      <c r="D1437" s="5">
        <v>500</v>
      </c>
      <c r="E1437" s="4" t="str">
        <f>"Funcionário"</f>
        <v>Funcionário</v>
      </c>
    </row>
    <row r="1438" spans="1:5">
      <c r="A1438" s="4" t="str">
        <f t="shared" si="106"/>
        <v>5</v>
      </c>
      <c r="B1438" s="4" t="str">
        <f>"PRISCILA ELAINE DE LIMA"</f>
        <v>PRISCILA ELAINE DE LIMA</v>
      </c>
      <c r="C1438" s="4" t="str">
        <f>"TECNICO SEGURANÇA DO TRABALHO"</f>
        <v>TECNICO SEGURANÇA DO TRABALHO</v>
      </c>
      <c r="D1438" s="5">
        <v>500</v>
      </c>
      <c r="E1438" s="4" t="str">
        <f>"Funcionário"</f>
        <v>Funcionário</v>
      </c>
    </row>
    <row r="1439" spans="1:5">
      <c r="A1439" s="4" t="str">
        <f t="shared" si="106"/>
        <v>5</v>
      </c>
      <c r="B1439" s="4" t="str">
        <f>"QUENIA CRISTINA DE ARAUJO RIBEIRO ROSA"</f>
        <v>QUENIA CRISTINA DE ARAUJO RIBEIRO ROSA</v>
      </c>
      <c r="C1439" s="4" t="str">
        <f>"AUX TECNICO ADMINISTRATIVO"</f>
        <v>AUX TECNICO ADMINISTRATIVO</v>
      </c>
      <c r="D1439" s="5">
        <v>500</v>
      </c>
      <c r="E1439" s="4" t="str">
        <f>"Funcionário"</f>
        <v>Funcionário</v>
      </c>
    </row>
    <row r="1440" spans="1:5">
      <c r="A1440" s="4" t="str">
        <f t="shared" si="106"/>
        <v>5</v>
      </c>
      <c r="B1440" s="4" t="str">
        <f>"RAFAEL ALEX SANDER AUGUSTO VIEIRA"</f>
        <v>RAFAEL ALEX SANDER AUGUSTO VIEIRA</v>
      </c>
      <c r="C1440" s="4" t="str">
        <f>"APRENDIZ- PRODUÇÃO"</f>
        <v>APRENDIZ- PRODUÇÃO</v>
      </c>
      <c r="D1440" s="5">
        <v>503</v>
      </c>
      <c r="E1440" s="4" t="str">
        <f>"Aprendiz"</f>
        <v>Aprendiz</v>
      </c>
    </row>
    <row r="1441" spans="1:5">
      <c r="A1441" s="4" t="str">
        <f t="shared" si="106"/>
        <v>5</v>
      </c>
      <c r="B1441" s="4" t="str">
        <f>"RAFAEL CORREA MORAES"</f>
        <v>RAFAEL CORREA MORAES</v>
      </c>
      <c r="C1441" s="4" t="str">
        <f>"ENGENHEIRO"</f>
        <v>ENGENHEIRO</v>
      </c>
      <c r="D1441" s="5">
        <v>500</v>
      </c>
      <c r="E1441" s="4" t="str">
        <f>"Funcionário"</f>
        <v>Funcionário</v>
      </c>
    </row>
    <row r="1442" spans="1:5">
      <c r="A1442" s="4" t="str">
        <f t="shared" si="106"/>
        <v>5</v>
      </c>
      <c r="B1442" s="4" t="str">
        <f>"RAFAEL COSTA FERREIRA"</f>
        <v>RAFAEL COSTA FERREIRA</v>
      </c>
      <c r="C1442" s="4" t="str">
        <f>"ENGENHEIRO"</f>
        <v>ENGENHEIRO</v>
      </c>
      <c r="D1442" s="5">
        <v>500</v>
      </c>
      <c r="E1442" s="4" t="str">
        <f>"Funcionário"</f>
        <v>Funcionário</v>
      </c>
    </row>
    <row r="1443" spans="1:5">
      <c r="A1443" s="4" t="str">
        <f t="shared" si="106"/>
        <v>5</v>
      </c>
      <c r="B1443" s="4" t="str">
        <f>"RAFAEL OMAR FERREIRA"</f>
        <v>RAFAEL OMAR FERREIRA</v>
      </c>
      <c r="C1443" s="4" t="str">
        <f>"ENGENHEIRO"</f>
        <v>ENGENHEIRO</v>
      </c>
      <c r="D1443" s="5">
        <v>500</v>
      </c>
      <c r="E1443" s="4" t="str">
        <f>"Funcionário"</f>
        <v>Funcionário</v>
      </c>
    </row>
    <row r="1444" spans="1:5">
      <c r="A1444" s="4" t="str">
        <f t="shared" si="106"/>
        <v>5</v>
      </c>
      <c r="B1444" s="4" t="str">
        <f>"RAFAEL RIBEIRO DOS SANTOS"</f>
        <v>RAFAEL RIBEIRO DOS SANTOS</v>
      </c>
      <c r="C1444" s="4" t="str">
        <f>"TEC INDUSTRIAL ESPECIALIZADO"</f>
        <v>TEC INDUSTRIAL ESPECIALIZADO</v>
      </c>
      <c r="D1444" s="5">
        <v>500</v>
      </c>
      <c r="E1444" s="4" t="str">
        <f>"Funcionário"</f>
        <v>Funcionário</v>
      </c>
    </row>
    <row r="1445" spans="1:5">
      <c r="A1445" s="4" t="str">
        <f t="shared" si="106"/>
        <v>5</v>
      </c>
      <c r="B1445" s="4" t="str">
        <f>"RAFAELA SIMÕES CATELANI"</f>
        <v>RAFAELA SIMÕES CATELANI</v>
      </c>
      <c r="C1445" s="4" t="str">
        <f>"Estagiario"</f>
        <v>Estagiario</v>
      </c>
      <c r="D1445" s="5">
        <v>502</v>
      </c>
      <c r="E1445" s="4" t="str">
        <f>"Estagiário"</f>
        <v>Estagiário</v>
      </c>
    </row>
    <row r="1446" spans="1:5">
      <c r="A1446" s="4" t="str">
        <f t="shared" si="106"/>
        <v>5</v>
      </c>
      <c r="B1446" s="4" t="str">
        <f>"RAISSA MENDONÇA ROSA"</f>
        <v>RAISSA MENDONÇA ROSA</v>
      </c>
      <c r="C1446" s="4" t="str">
        <f>"APRENDIZ- PRODUÇÃO"</f>
        <v>APRENDIZ- PRODUÇÃO</v>
      </c>
      <c r="D1446" s="5">
        <v>503</v>
      </c>
      <c r="E1446" s="4" t="str">
        <f>"Aprendiz"</f>
        <v>Aprendiz</v>
      </c>
    </row>
    <row r="1447" spans="1:5">
      <c r="A1447" s="4" t="str">
        <f t="shared" si="106"/>
        <v>5</v>
      </c>
      <c r="B1447" s="4" t="str">
        <f>"RAQUEL LENE BALBINO"</f>
        <v>RAQUEL LENE BALBINO</v>
      </c>
      <c r="C1447" s="4" t="str">
        <f>"OFICIAL DE PRODUCAO INDUSTRIAL"</f>
        <v>OFICIAL DE PRODUCAO INDUSTRIAL</v>
      </c>
      <c r="D1447" s="5">
        <v>500</v>
      </c>
      <c r="E1447" s="4" t="str">
        <f>"Funcionário"</f>
        <v>Funcionário</v>
      </c>
    </row>
    <row r="1448" spans="1:5">
      <c r="A1448" s="4" t="str">
        <f t="shared" si="106"/>
        <v>5</v>
      </c>
      <c r="B1448" s="4" t="str">
        <f>"RAYANE VITORIA VICENTE CERQUEIRA"</f>
        <v>RAYANE VITORIA VICENTE CERQUEIRA</v>
      </c>
      <c r="C1448" s="4" t="str">
        <f>"OFICIAL DE PRODUCAO INDUSTRIAL"</f>
        <v>OFICIAL DE PRODUCAO INDUSTRIAL</v>
      </c>
      <c r="D1448" s="5">
        <v>500</v>
      </c>
      <c r="E1448" s="4" t="str">
        <f>"Funcionário"</f>
        <v>Funcionário</v>
      </c>
    </row>
    <row r="1449" spans="1:5">
      <c r="A1449" s="4" t="str">
        <f t="shared" si="106"/>
        <v>5</v>
      </c>
      <c r="B1449" s="4" t="str">
        <f>"REGIANE APARECIDA NUNES GUIMARAES"</f>
        <v>REGIANE APARECIDA NUNES GUIMARAES</v>
      </c>
      <c r="C1449" s="4" t="str">
        <f>"OFICIAL DE PRODUCAO INDUSTRIAL"</f>
        <v>OFICIAL DE PRODUCAO INDUSTRIAL</v>
      </c>
      <c r="D1449" s="5">
        <v>500</v>
      </c>
      <c r="E1449" s="4" t="str">
        <f>"Funcionário"</f>
        <v>Funcionário</v>
      </c>
    </row>
    <row r="1450" spans="1:5">
      <c r="A1450" s="4" t="str">
        <f t="shared" ref="A1450:A1513" si="107">"5"</f>
        <v>5</v>
      </c>
      <c r="B1450" s="4" t="str">
        <f>"REGIANE DA SILVA PINTO"</f>
        <v>REGIANE DA SILVA PINTO</v>
      </c>
      <c r="C1450" s="4" t="str">
        <f>"OFICIAL DE PRODUCAO INDUSTRIAL"</f>
        <v>OFICIAL DE PRODUCAO INDUSTRIAL</v>
      </c>
      <c r="D1450" s="5">
        <v>500</v>
      </c>
      <c r="E1450" s="4" t="str">
        <f>"Funcionário"</f>
        <v>Funcionário</v>
      </c>
    </row>
    <row r="1451" spans="1:5">
      <c r="A1451" s="4" t="str">
        <f t="shared" si="107"/>
        <v>5</v>
      </c>
      <c r="B1451" s="4" t="str">
        <f>"REGINA LUCIA BALBINO"</f>
        <v>REGINA LUCIA BALBINO</v>
      </c>
      <c r="C1451" s="4" t="str">
        <f>"OFICIAL DE PRODUCAO INDUSTRIAL"</f>
        <v>OFICIAL DE PRODUCAO INDUSTRIAL</v>
      </c>
      <c r="D1451" s="5">
        <v>500</v>
      </c>
      <c r="E1451" s="4" t="str">
        <f>"Funcionário"</f>
        <v>Funcionário</v>
      </c>
    </row>
    <row r="1452" spans="1:5">
      <c r="A1452" s="4" t="str">
        <f t="shared" si="107"/>
        <v>5</v>
      </c>
      <c r="B1452" s="4" t="str">
        <f>"REGINALDO RAIMUNDO PINTO"</f>
        <v>REGINALDO RAIMUNDO PINTO</v>
      </c>
      <c r="C1452" s="4" t="str">
        <f>"AGENTE DE APOIO OPERACIONAL"</f>
        <v>AGENTE DE APOIO OPERACIONAL</v>
      </c>
      <c r="D1452" s="5">
        <v>500</v>
      </c>
      <c r="E1452" s="4" t="str">
        <f>"Aposentado"</f>
        <v>Aposentado</v>
      </c>
    </row>
    <row r="1453" spans="1:5">
      <c r="A1453" s="4" t="str">
        <f t="shared" si="107"/>
        <v>5</v>
      </c>
      <c r="B1453" s="4" t="str">
        <f>"RENAN PALOPOLE MATHEZ"</f>
        <v>RENAN PALOPOLE MATHEZ</v>
      </c>
      <c r="C1453" s="4" t="str">
        <f>"AUXILIAR TECNICO INDUSTRIAL"</f>
        <v>AUXILIAR TECNICO INDUSTRIAL</v>
      </c>
      <c r="D1453" s="5">
        <v>500</v>
      </c>
      <c r="E1453" s="4" t="str">
        <f t="shared" ref="E1453:E1460" si="108">"Funcionário"</f>
        <v>Funcionário</v>
      </c>
    </row>
    <row r="1454" spans="1:5">
      <c r="A1454" s="4" t="str">
        <f t="shared" si="107"/>
        <v>5</v>
      </c>
      <c r="B1454" s="4" t="str">
        <f>"RENAN VIEIRA RAMOS"</f>
        <v>RENAN VIEIRA RAMOS</v>
      </c>
      <c r="C1454" s="4" t="str">
        <f>"ENGENHEIRO"</f>
        <v>ENGENHEIRO</v>
      </c>
      <c r="D1454" s="5">
        <v>500</v>
      </c>
      <c r="E1454" s="4" t="str">
        <f t="shared" si="108"/>
        <v>Funcionário</v>
      </c>
    </row>
    <row r="1455" spans="1:5">
      <c r="A1455" s="4" t="str">
        <f t="shared" si="107"/>
        <v>5</v>
      </c>
      <c r="B1455" s="4" t="str">
        <f>"RENATA APARECIDA MARTINS DE SOUSA"</f>
        <v>RENATA APARECIDA MARTINS DE SOUSA</v>
      </c>
      <c r="C1455" s="4" t="str">
        <f>"OFICIAL DE PRODUCAO INDUSTRIAL"</f>
        <v>OFICIAL DE PRODUCAO INDUSTRIAL</v>
      </c>
      <c r="D1455" s="5">
        <v>500</v>
      </c>
      <c r="E1455" s="4" t="str">
        <f t="shared" si="108"/>
        <v>Funcionário</v>
      </c>
    </row>
    <row r="1456" spans="1:5">
      <c r="A1456" s="4" t="str">
        <f t="shared" si="107"/>
        <v>5</v>
      </c>
      <c r="B1456" s="4" t="str">
        <f>"RENATA RODRIGUES BATISTA"</f>
        <v>RENATA RODRIGUES BATISTA</v>
      </c>
      <c r="C1456" s="4" t="str">
        <f>"ANALISTA ESPECIALIZADO"</f>
        <v>ANALISTA ESPECIALIZADO</v>
      </c>
      <c r="D1456" s="5">
        <v>500</v>
      </c>
      <c r="E1456" s="4" t="str">
        <f t="shared" si="108"/>
        <v>Funcionário</v>
      </c>
    </row>
    <row r="1457" spans="1:5">
      <c r="A1457" s="4" t="str">
        <f t="shared" si="107"/>
        <v>5</v>
      </c>
      <c r="B1457" s="4" t="str">
        <f>"RENATA RUBIA DOS SANTOS"</f>
        <v>RENATA RUBIA DOS SANTOS</v>
      </c>
      <c r="C1457" s="4" t="str">
        <f>"AUX TECNICO ADMINISTRATIVO"</f>
        <v>AUX TECNICO ADMINISTRATIVO</v>
      </c>
      <c r="D1457" s="5">
        <v>500</v>
      </c>
      <c r="E1457" s="4" t="str">
        <f t="shared" si="108"/>
        <v>Funcionário</v>
      </c>
    </row>
    <row r="1458" spans="1:5">
      <c r="A1458" s="4" t="str">
        <f t="shared" si="107"/>
        <v>5</v>
      </c>
      <c r="B1458" s="4" t="str">
        <f>"RICARDO CEZAR DA CRUZ"</f>
        <v>RICARDO CEZAR DA CRUZ</v>
      </c>
      <c r="C1458" s="4" t="str">
        <f>"TEC INDUSTRIAL ESPECIALIZADO"</f>
        <v>TEC INDUSTRIAL ESPECIALIZADO</v>
      </c>
      <c r="D1458" s="5">
        <v>500</v>
      </c>
      <c r="E1458" s="4" t="str">
        <f t="shared" si="108"/>
        <v>Funcionário</v>
      </c>
    </row>
    <row r="1459" spans="1:5">
      <c r="A1459" s="4" t="str">
        <f t="shared" si="107"/>
        <v>5</v>
      </c>
      <c r="B1459" s="4" t="str">
        <f>"RICARDO RAIMUNDO PINTO"</f>
        <v>RICARDO RAIMUNDO PINTO</v>
      </c>
      <c r="C1459" s="4" t="str">
        <f>"OFICIAL DE PRODUCAO INDUSTRIAL"</f>
        <v>OFICIAL DE PRODUCAO INDUSTRIAL</v>
      </c>
      <c r="D1459" s="5">
        <v>500</v>
      </c>
      <c r="E1459" s="4" t="str">
        <f t="shared" si="108"/>
        <v>Funcionário</v>
      </c>
    </row>
    <row r="1460" spans="1:5">
      <c r="A1460" s="4" t="str">
        <f t="shared" si="107"/>
        <v>5</v>
      </c>
      <c r="B1460" s="4" t="str">
        <f>"RITA DE CASSIA DOS SANTOS"</f>
        <v>RITA DE CASSIA DOS SANTOS</v>
      </c>
      <c r="C1460" s="4" t="str">
        <f>"ANALISTA ESPECIALIZADO"</f>
        <v>ANALISTA ESPECIALIZADO</v>
      </c>
      <c r="D1460" s="5">
        <v>500</v>
      </c>
      <c r="E1460" s="4" t="str">
        <f t="shared" si="108"/>
        <v>Funcionário</v>
      </c>
    </row>
    <row r="1461" spans="1:5">
      <c r="A1461" s="4" t="str">
        <f t="shared" si="107"/>
        <v>5</v>
      </c>
      <c r="B1461" s="4" t="str">
        <f>"ROBERTO CARLOS DE SOUZA"</f>
        <v>ROBERTO CARLOS DE SOUZA</v>
      </c>
      <c r="C1461" s="4" t="str">
        <f>"OFICIAL DE PRODUCAO INDUSTRIAL"</f>
        <v>OFICIAL DE PRODUCAO INDUSTRIAL</v>
      </c>
      <c r="D1461" s="5">
        <v>500</v>
      </c>
      <c r="E1461" s="4" t="str">
        <f>"Aposentado"</f>
        <v>Aposentado</v>
      </c>
    </row>
    <row r="1462" spans="1:5">
      <c r="A1462" s="4" t="str">
        <f t="shared" si="107"/>
        <v>5</v>
      </c>
      <c r="B1462" s="4" t="str">
        <f>"ROBERTO DE OLIVEIRA"</f>
        <v>ROBERTO DE OLIVEIRA</v>
      </c>
      <c r="C1462" s="4" t="str">
        <f>"TEC INDUSTRIAL ESPECIALIZADO"</f>
        <v>TEC INDUSTRIAL ESPECIALIZADO</v>
      </c>
      <c r="D1462" s="5">
        <v>500</v>
      </c>
      <c r="E1462" s="4" t="str">
        <f t="shared" ref="E1462:E1467" si="109">"Funcionário"</f>
        <v>Funcionário</v>
      </c>
    </row>
    <row r="1463" spans="1:5">
      <c r="A1463" s="4" t="str">
        <f t="shared" si="107"/>
        <v>5</v>
      </c>
      <c r="B1463" s="4" t="str">
        <f>"ROBERTS DA COSTA PEREIRA"</f>
        <v>ROBERTS DA COSTA PEREIRA</v>
      </c>
      <c r="C1463" s="4" t="str">
        <f>"ASSESSOR CHEFE I"</f>
        <v>ASSESSOR CHEFE I</v>
      </c>
      <c r="D1463" s="5">
        <v>501</v>
      </c>
      <c r="E1463" s="4" t="str">
        <f t="shared" si="109"/>
        <v>Funcionário</v>
      </c>
    </row>
    <row r="1464" spans="1:5">
      <c r="A1464" s="4" t="str">
        <f t="shared" si="107"/>
        <v>5</v>
      </c>
      <c r="B1464" s="4" t="str">
        <f>"RODMILSON SANTOS CASCARDO"</f>
        <v>RODMILSON SANTOS CASCARDO</v>
      </c>
      <c r="C1464" s="4" t="str">
        <f>"OFICIAL DE PRODUCAO INDUSTRIAL"</f>
        <v>OFICIAL DE PRODUCAO INDUSTRIAL</v>
      </c>
      <c r="D1464" s="5">
        <v>500</v>
      </c>
      <c r="E1464" s="4" t="str">
        <f t="shared" si="109"/>
        <v>Funcionário</v>
      </c>
    </row>
    <row r="1465" spans="1:5">
      <c r="A1465" s="4" t="str">
        <f t="shared" si="107"/>
        <v>5</v>
      </c>
      <c r="B1465" s="4" t="str">
        <f>"RODNEI SANTOS CASCARDO"</f>
        <v>RODNEI SANTOS CASCARDO</v>
      </c>
      <c r="C1465" s="4" t="str">
        <f>"OFICIAL DE PRODUCAO INDUSTRIAL"</f>
        <v>OFICIAL DE PRODUCAO INDUSTRIAL</v>
      </c>
      <c r="D1465" s="5">
        <v>500</v>
      </c>
      <c r="E1465" s="4" t="str">
        <f t="shared" si="109"/>
        <v>Funcionário</v>
      </c>
    </row>
    <row r="1466" spans="1:5">
      <c r="A1466" s="4" t="str">
        <f t="shared" si="107"/>
        <v>5</v>
      </c>
      <c r="B1466" s="4" t="str">
        <f>"RODRIGO APARECIDO VALENTIM"</f>
        <v>RODRIGO APARECIDO VALENTIM</v>
      </c>
      <c r="C1466" s="4" t="str">
        <f>"OFICIAL DE PRODUCAO INDUSTRIAL"</f>
        <v>OFICIAL DE PRODUCAO INDUSTRIAL</v>
      </c>
      <c r="D1466" s="5">
        <v>500</v>
      </c>
      <c r="E1466" s="4" t="str">
        <f t="shared" si="109"/>
        <v>Funcionário</v>
      </c>
    </row>
    <row r="1467" spans="1:5">
      <c r="A1467" s="4" t="str">
        <f t="shared" si="107"/>
        <v>5</v>
      </c>
      <c r="B1467" s="4" t="str">
        <f>"ROGER WILLIANS SILVA"</f>
        <v>ROGER WILLIANS SILVA</v>
      </c>
      <c r="C1467" s="4" t="str">
        <f>"TEC INDUSTRIAL ESPECIALIZADO"</f>
        <v>TEC INDUSTRIAL ESPECIALIZADO</v>
      </c>
      <c r="D1467" s="5">
        <v>500</v>
      </c>
      <c r="E1467" s="4" t="str">
        <f t="shared" si="109"/>
        <v>Funcionário</v>
      </c>
    </row>
    <row r="1468" spans="1:5">
      <c r="A1468" s="4" t="str">
        <f t="shared" si="107"/>
        <v>5</v>
      </c>
      <c r="B1468" s="4" t="str">
        <f>"ROGERIO MATEUS RIBEIRO"</f>
        <v>ROGERIO MATEUS RIBEIRO</v>
      </c>
      <c r="C1468" s="4" t="str">
        <f>"OFICIAL DE PRODUCAO INDUSTRIAL"</f>
        <v>OFICIAL DE PRODUCAO INDUSTRIAL</v>
      </c>
      <c r="D1468" s="5">
        <v>500</v>
      </c>
      <c r="E1468" s="4" t="str">
        <f>"Aposentado"</f>
        <v>Aposentado</v>
      </c>
    </row>
    <row r="1469" spans="1:5">
      <c r="A1469" s="4" t="str">
        <f t="shared" si="107"/>
        <v>5</v>
      </c>
      <c r="B1469" s="4" t="str">
        <f>"ROGERIO PEREIRA DA SILVA"</f>
        <v>ROGERIO PEREIRA DA SILVA</v>
      </c>
      <c r="C1469" s="4" t="str">
        <f>"OFICIAL DE PRODUCAO INDUSTRIAL"</f>
        <v>OFICIAL DE PRODUCAO INDUSTRIAL</v>
      </c>
      <c r="D1469" s="5">
        <v>500</v>
      </c>
      <c r="E1469" s="4" t="str">
        <f>"Aposentado"</f>
        <v>Aposentado</v>
      </c>
    </row>
    <row r="1470" spans="1:5">
      <c r="A1470" s="4" t="str">
        <f t="shared" si="107"/>
        <v>5</v>
      </c>
      <c r="B1470" s="4" t="str">
        <f>"RONALDO CRISTIANO TIMOTEO"</f>
        <v>RONALDO CRISTIANO TIMOTEO</v>
      </c>
      <c r="C1470" s="4" t="str">
        <f>"OFICIAL DE PRODUCAO INDUSTRIAL"</f>
        <v>OFICIAL DE PRODUCAO INDUSTRIAL</v>
      </c>
      <c r="D1470" s="5">
        <v>500</v>
      </c>
      <c r="E1470" s="4" t="str">
        <f>"Funcionário"</f>
        <v>Funcionário</v>
      </c>
    </row>
    <row r="1471" spans="1:5">
      <c r="A1471" s="4" t="str">
        <f t="shared" si="107"/>
        <v>5</v>
      </c>
      <c r="B1471" s="4" t="str">
        <f>"RONALDO VIEIRA DA SILVA"</f>
        <v>RONALDO VIEIRA DA SILVA</v>
      </c>
      <c r="C1471" s="4" t="str">
        <f>"OFICIAL DE PRODUCAO INDUSTRIAL"</f>
        <v>OFICIAL DE PRODUCAO INDUSTRIAL</v>
      </c>
      <c r="D1471" s="5">
        <v>500</v>
      </c>
      <c r="E1471" s="4" t="str">
        <f>"Aposentado"</f>
        <v>Aposentado</v>
      </c>
    </row>
    <row r="1472" spans="1:5">
      <c r="A1472" s="4" t="str">
        <f t="shared" si="107"/>
        <v>5</v>
      </c>
      <c r="B1472" s="4" t="str">
        <f>"ROSANA APARECIDA SALVINO DE OLIVEIRA"</f>
        <v>ROSANA APARECIDA SALVINO DE OLIVEIRA</v>
      </c>
      <c r="C1472" s="4" t="str">
        <f>"AGENTE DE APOIO OPERACIONAL"</f>
        <v>AGENTE DE APOIO OPERACIONAL</v>
      </c>
      <c r="D1472" s="5">
        <v>500</v>
      </c>
      <c r="E1472" s="4" t="str">
        <f>"Aposentado"</f>
        <v>Aposentado</v>
      </c>
    </row>
    <row r="1473" spans="1:5">
      <c r="A1473" s="4" t="str">
        <f t="shared" si="107"/>
        <v>5</v>
      </c>
      <c r="B1473" s="4" t="str">
        <f>"ROSANA PEREIRA CANDIDO DOS SANTOS"</f>
        <v>ROSANA PEREIRA CANDIDO DOS SANTOS</v>
      </c>
      <c r="C1473" s="4" t="str">
        <f>"OFICIAL DE PRODUCAO INDUSTRIAL"</f>
        <v>OFICIAL DE PRODUCAO INDUSTRIAL</v>
      </c>
      <c r="D1473" s="5">
        <v>500</v>
      </c>
      <c r="E1473" s="4" t="str">
        <f t="shared" ref="E1473:E1480" si="110">"Funcionário"</f>
        <v>Funcionário</v>
      </c>
    </row>
    <row r="1474" spans="1:5">
      <c r="A1474" s="4" t="str">
        <f t="shared" si="107"/>
        <v>5</v>
      </c>
      <c r="B1474" s="4" t="str">
        <f>"ROSANGELA BATISTA TEODORO"</f>
        <v>ROSANGELA BATISTA TEODORO</v>
      </c>
      <c r="C1474" s="4" t="str">
        <f>"COZINHEIRO III"</f>
        <v>COZINHEIRO III</v>
      </c>
      <c r="D1474" s="5">
        <v>500</v>
      </c>
      <c r="E1474" s="4" t="str">
        <f t="shared" si="110"/>
        <v>Funcionário</v>
      </c>
    </row>
    <row r="1475" spans="1:5">
      <c r="A1475" s="4" t="str">
        <f t="shared" si="107"/>
        <v>5</v>
      </c>
      <c r="B1475" s="4" t="str">
        <f>"ROSANGELA MARIA APARECIDA DE PAULA"</f>
        <v>ROSANGELA MARIA APARECIDA DE PAULA</v>
      </c>
      <c r="C1475" s="4" t="str">
        <f>"OFICIAL DE PRODUCAO INDUSTRIAL"</f>
        <v>OFICIAL DE PRODUCAO INDUSTRIAL</v>
      </c>
      <c r="D1475" s="5">
        <v>500</v>
      </c>
      <c r="E1475" s="4" t="str">
        <f t="shared" si="110"/>
        <v>Funcionário</v>
      </c>
    </row>
    <row r="1476" spans="1:5">
      <c r="A1476" s="4" t="str">
        <f t="shared" si="107"/>
        <v>5</v>
      </c>
      <c r="B1476" s="4" t="str">
        <f>"ROSEANE APARECIDA RODRIGUES"</f>
        <v>ROSEANE APARECIDA RODRIGUES</v>
      </c>
      <c r="C1476" s="4" t="str">
        <f>"TECNICO ADM ESPECIALIZADO"</f>
        <v>TECNICO ADM ESPECIALIZADO</v>
      </c>
      <c r="D1476" s="5">
        <v>500</v>
      </c>
      <c r="E1476" s="4" t="str">
        <f t="shared" si="110"/>
        <v>Funcionário</v>
      </c>
    </row>
    <row r="1477" spans="1:5">
      <c r="A1477" s="4" t="str">
        <f t="shared" si="107"/>
        <v>5</v>
      </c>
      <c r="B1477" s="4" t="str">
        <f>"ROSELI DA SILVA"</f>
        <v>ROSELI DA SILVA</v>
      </c>
      <c r="C1477" s="4" t="str">
        <f>"OFICIAL DE PRODUCAO INDUSTRIAL"</f>
        <v>OFICIAL DE PRODUCAO INDUSTRIAL</v>
      </c>
      <c r="D1477" s="5">
        <v>500</v>
      </c>
      <c r="E1477" s="4" t="str">
        <f t="shared" si="110"/>
        <v>Funcionário</v>
      </c>
    </row>
    <row r="1478" spans="1:5">
      <c r="A1478" s="4" t="str">
        <f t="shared" si="107"/>
        <v>5</v>
      </c>
      <c r="B1478" s="4" t="str">
        <f>"ROSILENE BATISTA FARIA"</f>
        <v>ROSILENE BATISTA FARIA</v>
      </c>
      <c r="C1478" s="4" t="str">
        <f>"OFICIAL DE PRODUCAO INDUSTRIAL"</f>
        <v>OFICIAL DE PRODUCAO INDUSTRIAL</v>
      </c>
      <c r="D1478" s="5">
        <v>500</v>
      </c>
      <c r="E1478" s="4" t="str">
        <f t="shared" si="110"/>
        <v>Funcionário</v>
      </c>
    </row>
    <row r="1479" spans="1:5">
      <c r="A1479" s="4" t="str">
        <f t="shared" si="107"/>
        <v>5</v>
      </c>
      <c r="B1479" s="4" t="str">
        <f>"ROSIMARA MARIA MAGALHAES"</f>
        <v>ROSIMARA MARIA MAGALHAES</v>
      </c>
      <c r="C1479" s="4" t="str">
        <f>"TEC INDUSTRIAL ESPECIALIZADO"</f>
        <v>TEC INDUSTRIAL ESPECIALIZADO</v>
      </c>
      <c r="D1479" s="5">
        <v>500</v>
      </c>
      <c r="E1479" s="4" t="str">
        <f t="shared" si="110"/>
        <v>Funcionário</v>
      </c>
    </row>
    <row r="1480" spans="1:5">
      <c r="A1480" s="4" t="str">
        <f t="shared" si="107"/>
        <v>5</v>
      </c>
      <c r="B1480" s="4" t="str">
        <f>"ROZELI APARECIDA CRUZ DOS SANTOS"</f>
        <v>ROZELI APARECIDA CRUZ DOS SANTOS</v>
      </c>
      <c r="C1480" s="4" t="str">
        <f>"OFICIAL DE PRODUCAO INDUSTRIAL"</f>
        <v>OFICIAL DE PRODUCAO INDUSTRIAL</v>
      </c>
      <c r="D1480" s="5">
        <v>500</v>
      </c>
      <c r="E1480" s="4" t="str">
        <f t="shared" si="110"/>
        <v>Funcionário</v>
      </c>
    </row>
    <row r="1481" spans="1:5">
      <c r="A1481" s="4" t="str">
        <f t="shared" si="107"/>
        <v>5</v>
      </c>
      <c r="B1481" s="4" t="str">
        <f>"RUBENS DOS SANTOS"</f>
        <v>RUBENS DOS SANTOS</v>
      </c>
      <c r="C1481" s="4" t="str">
        <f>"ENCARREGADO II"</f>
        <v>ENCARREGADO II</v>
      </c>
      <c r="D1481" s="5">
        <v>500</v>
      </c>
      <c r="E1481" s="4" t="str">
        <f>"Aposentado"</f>
        <v>Aposentado</v>
      </c>
    </row>
    <row r="1482" spans="1:5">
      <c r="A1482" s="4" t="str">
        <f t="shared" si="107"/>
        <v>5</v>
      </c>
      <c r="B1482" s="4" t="str">
        <f>"RUBENS FARIA"</f>
        <v>RUBENS FARIA</v>
      </c>
      <c r="C1482" s="4" t="str">
        <f>"OF FERRAMENTARIA INDUSTRIAL"</f>
        <v>OF FERRAMENTARIA INDUSTRIAL</v>
      </c>
      <c r="D1482" s="5">
        <v>500</v>
      </c>
      <c r="E1482" s="4" t="str">
        <f>"Aposentado"</f>
        <v>Aposentado</v>
      </c>
    </row>
    <row r="1483" spans="1:5">
      <c r="A1483" s="4" t="str">
        <f t="shared" si="107"/>
        <v>5</v>
      </c>
      <c r="B1483" s="4" t="str">
        <f>"RUBENS FREITAS DA FONSECA"</f>
        <v>RUBENS FREITAS DA FONSECA</v>
      </c>
      <c r="C1483" s="4" t="str">
        <f>"OFICIAL DE PRODUCAO INDUSTRIAL"</f>
        <v>OFICIAL DE PRODUCAO INDUSTRIAL</v>
      </c>
      <c r="D1483" s="5">
        <v>500</v>
      </c>
      <c r="E1483" s="4" t="str">
        <f>"Aposentado"</f>
        <v>Aposentado</v>
      </c>
    </row>
    <row r="1484" spans="1:5">
      <c r="A1484" s="4" t="str">
        <f t="shared" si="107"/>
        <v>5</v>
      </c>
      <c r="B1484" s="4" t="str">
        <f>"RUBENS PEREIRA DA SILVA"</f>
        <v>RUBENS PEREIRA DA SILVA</v>
      </c>
      <c r="C1484" s="4" t="str">
        <f>"OFICIAL DE PRODUCAO INDUSTRIAL"</f>
        <v>OFICIAL DE PRODUCAO INDUSTRIAL</v>
      </c>
      <c r="D1484" s="5">
        <v>500</v>
      </c>
      <c r="E1484" s="4" t="str">
        <f>"Aposentado"</f>
        <v>Aposentado</v>
      </c>
    </row>
    <row r="1485" spans="1:5">
      <c r="A1485" s="4" t="str">
        <f t="shared" si="107"/>
        <v>5</v>
      </c>
      <c r="B1485" s="4" t="str">
        <f>"RUTH ROSA DA COSTA MARTINS"</f>
        <v>RUTH ROSA DA COSTA MARTINS</v>
      </c>
      <c r="C1485" s="4" t="str">
        <f>"TECNICO ENFERMAGEM DO TRABALHO"</f>
        <v>TECNICO ENFERMAGEM DO TRABALHO</v>
      </c>
      <c r="D1485" s="5">
        <v>500</v>
      </c>
      <c r="E1485" s="4" t="str">
        <f>"Aposentado"</f>
        <v>Aposentado</v>
      </c>
    </row>
    <row r="1486" spans="1:5">
      <c r="A1486" s="4" t="str">
        <f t="shared" si="107"/>
        <v>5</v>
      </c>
      <c r="B1486" s="4" t="str">
        <f>"RUTH SOARES"</f>
        <v>RUTH SOARES</v>
      </c>
      <c r="C1486" s="4" t="str">
        <f>"AUX TECNICO ADMINISTRATIVO"</f>
        <v>AUX TECNICO ADMINISTRATIVO</v>
      </c>
      <c r="D1486" s="5">
        <v>500</v>
      </c>
      <c r="E1486" s="4" t="str">
        <f t="shared" ref="E1486:E1496" si="111">"Funcionário"</f>
        <v>Funcionário</v>
      </c>
    </row>
    <row r="1487" spans="1:5">
      <c r="A1487" s="4" t="str">
        <f t="shared" si="107"/>
        <v>5</v>
      </c>
      <c r="B1487" s="4" t="str">
        <f>"SABRINA LUZIANE DA SILVA"</f>
        <v>SABRINA LUZIANE DA SILVA</v>
      </c>
      <c r="C1487" s="4" t="str">
        <f>"TECNICO SEGURANÇA DO TRABALHO"</f>
        <v>TECNICO SEGURANÇA DO TRABALHO</v>
      </c>
      <c r="D1487" s="5">
        <v>500</v>
      </c>
      <c r="E1487" s="4" t="str">
        <f t="shared" si="111"/>
        <v>Funcionário</v>
      </c>
    </row>
    <row r="1488" spans="1:5">
      <c r="A1488" s="4" t="str">
        <f t="shared" si="107"/>
        <v>5</v>
      </c>
      <c r="B1488" s="4" t="str">
        <f>"SAMUEL BRAGA DA CRUZ"</f>
        <v>SAMUEL BRAGA DA CRUZ</v>
      </c>
      <c r="C1488" s="4" t="str">
        <f>"TECNICO ADM ESPECIALIZADO"</f>
        <v>TECNICO ADM ESPECIALIZADO</v>
      </c>
      <c r="D1488" s="5">
        <v>500</v>
      </c>
      <c r="E1488" s="4" t="str">
        <f t="shared" si="111"/>
        <v>Funcionário</v>
      </c>
    </row>
    <row r="1489" spans="1:5">
      <c r="A1489" s="4" t="str">
        <f t="shared" si="107"/>
        <v>5</v>
      </c>
      <c r="B1489" s="4" t="str">
        <f>"SAMUEL MORAIS BARROS"</f>
        <v>SAMUEL MORAIS BARROS</v>
      </c>
      <c r="C1489" s="4" t="str">
        <f>"MILITAR DA ATIVA"</f>
        <v>MILITAR DA ATIVA</v>
      </c>
      <c r="D1489" s="5">
        <v>505</v>
      </c>
      <c r="E1489" s="4" t="str">
        <f t="shared" si="111"/>
        <v>Funcionário</v>
      </c>
    </row>
    <row r="1490" spans="1:5">
      <c r="A1490" s="4" t="str">
        <f t="shared" si="107"/>
        <v>5</v>
      </c>
      <c r="B1490" s="4" t="str">
        <f>"SANDRA MARA TEODORO"</f>
        <v>SANDRA MARA TEODORO</v>
      </c>
      <c r="C1490" s="4" t="str">
        <f>"AUX TECNICO ADMINISTRATIVO"</f>
        <v>AUX TECNICO ADMINISTRATIVO</v>
      </c>
      <c r="D1490" s="5">
        <v>500</v>
      </c>
      <c r="E1490" s="4" t="str">
        <f t="shared" si="111"/>
        <v>Funcionário</v>
      </c>
    </row>
    <row r="1491" spans="1:5">
      <c r="A1491" s="4" t="str">
        <f t="shared" si="107"/>
        <v>5</v>
      </c>
      <c r="B1491" s="4" t="str">
        <f>"SANDRA MARIA DA SILVA TEIXEIRA SOUTO"</f>
        <v>SANDRA MARIA DA SILVA TEIXEIRA SOUTO</v>
      </c>
      <c r="C1491" s="4" t="str">
        <f>"OPER PRODUCAO III"</f>
        <v>OPER PRODUCAO III</v>
      </c>
      <c r="D1491" s="5">
        <v>500</v>
      </c>
      <c r="E1491" s="4" t="str">
        <f t="shared" si="111"/>
        <v>Funcionário</v>
      </c>
    </row>
    <row r="1492" spans="1:5">
      <c r="A1492" s="4" t="str">
        <f t="shared" si="107"/>
        <v>5</v>
      </c>
      <c r="B1492" s="4" t="str">
        <f>"SANDRA MARIA PINTO"</f>
        <v>SANDRA MARIA PINTO</v>
      </c>
      <c r="C1492" s="4" t="str">
        <f>"OFICIAL DE PRODUCAO INDUSTRIAL"</f>
        <v>OFICIAL DE PRODUCAO INDUSTRIAL</v>
      </c>
      <c r="D1492" s="5">
        <v>500</v>
      </c>
      <c r="E1492" s="4" t="str">
        <f t="shared" si="111"/>
        <v>Funcionário</v>
      </c>
    </row>
    <row r="1493" spans="1:5">
      <c r="A1493" s="4" t="str">
        <f t="shared" si="107"/>
        <v>5</v>
      </c>
      <c r="B1493" s="4" t="str">
        <f>"SANDRO RODOLFO CORREA MANOEL"</f>
        <v>SANDRO RODOLFO CORREA MANOEL</v>
      </c>
      <c r="C1493" s="4" t="str">
        <f>"OPER PRODUCAO III"</f>
        <v>OPER PRODUCAO III</v>
      </c>
      <c r="D1493" s="5">
        <v>500</v>
      </c>
      <c r="E1493" s="4" t="str">
        <f t="shared" si="111"/>
        <v>Funcionário</v>
      </c>
    </row>
    <row r="1494" spans="1:5">
      <c r="A1494" s="4" t="str">
        <f t="shared" si="107"/>
        <v>5</v>
      </c>
      <c r="B1494" s="4" t="str">
        <f>"SARA HELENA DOS SANTOS LOURENÇO"</f>
        <v>SARA HELENA DOS SANTOS LOURENÇO</v>
      </c>
      <c r="C1494" s="4" t="str">
        <f>"AGENTE DE APOIO OPERACIONAL"</f>
        <v>AGENTE DE APOIO OPERACIONAL</v>
      </c>
      <c r="D1494" s="5">
        <v>500</v>
      </c>
      <c r="E1494" s="4" t="str">
        <f t="shared" si="111"/>
        <v>Funcionário</v>
      </c>
    </row>
    <row r="1495" spans="1:5">
      <c r="A1495" s="4" t="str">
        <f t="shared" si="107"/>
        <v>5</v>
      </c>
      <c r="B1495" s="4" t="str">
        <f>"SARA SILVA RIBEIRO CANDIDO"</f>
        <v>SARA SILVA RIBEIRO CANDIDO</v>
      </c>
      <c r="C1495" s="4" t="str">
        <f>"OFICIAL DE PRODUCAO INDUSTRIAL"</f>
        <v>OFICIAL DE PRODUCAO INDUSTRIAL</v>
      </c>
      <c r="D1495" s="5">
        <v>500</v>
      </c>
      <c r="E1495" s="4" t="str">
        <f t="shared" si="111"/>
        <v>Funcionário</v>
      </c>
    </row>
    <row r="1496" spans="1:5">
      <c r="A1496" s="4" t="str">
        <f t="shared" si="107"/>
        <v>5</v>
      </c>
      <c r="B1496" s="4" t="str">
        <f>"SEBASTIÃO AUREO DA SILVA"</f>
        <v>SEBASTIÃO AUREO DA SILVA</v>
      </c>
      <c r="C1496" s="4" t="str">
        <f>"ANALISTA ESPECIALIZADO"</f>
        <v>ANALISTA ESPECIALIZADO</v>
      </c>
      <c r="D1496" s="5">
        <v>500</v>
      </c>
      <c r="E1496" s="4" t="str">
        <f t="shared" si="111"/>
        <v>Funcionário</v>
      </c>
    </row>
    <row r="1497" spans="1:5">
      <c r="A1497" s="4" t="str">
        <f t="shared" si="107"/>
        <v>5</v>
      </c>
      <c r="B1497" s="4" t="str">
        <f>"SEBASTIAO CARLOS DE ARAUJO"</f>
        <v>SEBASTIAO CARLOS DE ARAUJO</v>
      </c>
      <c r="C1497" s="4" t="str">
        <f>"TEC INDUSTRIAL ESPECIALIZADO"</f>
        <v>TEC INDUSTRIAL ESPECIALIZADO</v>
      </c>
      <c r="D1497" s="5">
        <v>500</v>
      </c>
      <c r="E1497" s="4" t="str">
        <f>"Aposentado"</f>
        <v>Aposentado</v>
      </c>
    </row>
    <row r="1498" spans="1:5">
      <c r="A1498" s="4" t="str">
        <f t="shared" si="107"/>
        <v>5</v>
      </c>
      <c r="B1498" s="4" t="str">
        <f>"SEBASTIAO DIMAS PLACIDINO"</f>
        <v>SEBASTIAO DIMAS PLACIDINO</v>
      </c>
      <c r="C1498" s="4" t="str">
        <f>"OFICIAL DE PRODUCAO INDUSTRIAL"</f>
        <v>OFICIAL DE PRODUCAO INDUSTRIAL</v>
      </c>
      <c r="D1498" s="5">
        <v>500</v>
      </c>
      <c r="E1498" s="4" t="str">
        <f>"Aposentado"</f>
        <v>Aposentado</v>
      </c>
    </row>
    <row r="1499" spans="1:5">
      <c r="A1499" s="4" t="str">
        <f t="shared" si="107"/>
        <v>5</v>
      </c>
      <c r="B1499" s="4" t="str">
        <f>"SEBASTIAO FRANCISCO MACEDO"</f>
        <v>SEBASTIAO FRANCISCO MACEDO</v>
      </c>
      <c r="C1499" s="4" t="str">
        <f>"OFICIAL DE PRODUCAO INDUSTRIAL"</f>
        <v>OFICIAL DE PRODUCAO INDUSTRIAL</v>
      </c>
      <c r="D1499" s="5">
        <v>500</v>
      </c>
      <c r="E1499" s="4" t="str">
        <f>"Aposentado"</f>
        <v>Aposentado</v>
      </c>
    </row>
    <row r="1500" spans="1:5">
      <c r="A1500" s="4" t="str">
        <f t="shared" si="107"/>
        <v>5</v>
      </c>
      <c r="B1500" s="4" t="str">
        <f>"SEBASTIAO JOEL DA CRUZ"</f>
        <v>SEBASTIAO JOEL DA CRUZ</v>
      </c>
      <c r="C1500" s="4" t="str">
        <f>"AGENTE DE APOIO OPERACIONAL"</f>
        <v>AGENTE DE APOIO OPERACIONAL</v>
      </c>
      <c r="D1500" s="5">
        <v>500</v>
      </c>
      <c r="E1500" s="4" t="str">
        <f>"Aposentado"</f>
        <v>Aposentado</v>
      </c>
    </row>
    <row r="1501" spans="1:5">
      <c r="A1501" s="4" t="str">
        <f t="shared" si="107"/>
        <v>5</v>
      </c>
      <c r="B1501" s="4" t="str">
        <f>"SEBASTIAO JOSE RABELO"</f>
        <v>SEBASTIAO JOSE RABELO</v>
      </c>
      <c r="C1501" s="4" t="str">
        <f>"AUXILIAR TECNICO INDUSTRIAL"</f>
        <v>AUXILIAR TECNICO INDUSTRIAL</v>
      </c>
      <c r="D1501" s="5">
        <v>500</v>
      </c>
      <c r="E1501" s="4" t="str">
        <f>"Aposentado"</f>
        <v>Aposentado</v>
      </c>
    </row>
    <row r="1502" spans="1:5">
      <c r="A1502" s="4" t="str">
        <f t="shared" si="107"/>
        <v>5</v>
      </c>
      <c r="B1502" s="4" t="str">
        <f>"SELMA ANITA BONIFACIO FERREIRA"</f>
        <v>SELMA ANITA BONIFACIO FERREIRA</v>
      </c>
      <c r="C1502" s="4" t="str">
        <f>"OFICIAL DE PRODUCAO INDUSTRIAL"</f>
        <v>OFICIAL DE PRODUCAO INDUSTRIAL</v>
      </c>
      <c r="D1502" s="5">
        <v>500</v>
      </c>
      <c r="E1502" s="4" t="str">
        <f>"Funcionário"</f>
        <v>Funcionário</v>
      </c>
    </row>
    <row r="1503" spans="1:5">
      <c r="A1503" s="4" t="str">
        <f t="shared" si="107"/>
        <v>5</v>
      </c>
      <c r="B1503" s="4" t="str">
        <f>"SERGIO AUGUSTO DOMICIANO"</f>
        <v>SERGIO AUGUSTO DOMICIANO</v>
      </c>
      <c r="C1503" s="4" t="str">
        <f>"OFICIAL DE PRODUCAO INDUSTRIAL"</f>
        <v>OFICIAL DE PRODUCAO INDUSTRIAL</v>
      </c>
      <c r="D1503" s="5">
        <v>500</v>
      </c>
      <c r="E1503" s="4" t="str">
        <f>"Funcionário"</f>
        <v>Funcionário</v>
      </c>
    </row>
    <row r="1504" spans="1:5">
      <c r="A1504" s="4" t="str">
        <f t="shared" si="107"/>
        <v>5</v>
      </c>
      <c r="B1504" s="4" t="str">
        <f>"SERGIO LUIS GOMES"</f>
        <v>SERGIO LUIS GOMES</v>
      </c>
      <c r="C1504" s="4" t="str">
        <f>"OFICIAL DE PRODUCAO INDUSTRIAL"</f>
        <v>OFICIAL DE PRODUCAO INDUSTRIAL</v>
      </c>
      <c r="D1504" s="5">
        <v>500</v>
      </c>
      <c r="E1504" s="4" t="str">
        <f>"Funcionário"</f>
        <v>Funcionário</v>
      </c>
    </row>
    <row r="1505" spans="1:5">
      <c r="A1505" s="4" t="str">
        <f t="shared" si="107"/>
        <v>5</v>
      </c>
      <c r="B1505" s="4" t="str">
        <f>"SERGIO VAGNER DE OLIVEIRA GUEDES"</f>
        <v>SERGIO VAGNER DE OLIVEIRA GUEDES</v>
      </c>
      <c r="C1505" s="4" t="str">
        <f>"TEC INDUSTRIAL ESPECIALIZADO"</f>
        <v>TEC INDUSTRIAL ESPECIALIZADO</v>
      </c>
      <c r="D1505" s="5">
        <v>500</v>
      </c>
      <c r="E1505" s="4" t="str">
        <f>"Aposentado"</f>
        <v>Aposentado</v>
      </c>
    </row>
    <row r="1506" spans="1:5">
      <c r="A1506" s="4" t="str">
        <f t="shared" si="107"/>
        <v>5</v>
      </c>
      <c r="B1506" s="4" t="str">
        <f>"SHEILA REGINA MOURA DA SILVA"</f>
        <v>SHEILA REGINA MOURA DA SILVA</v>
      </c>
      <c r="C1506" s="4" t="str">
        <f>"OFICIAL DE PRODUCAO INDUSTRIAL"</f>
        <v>OFICIAL DE PRODUCAO INDUSTRIAL</v>
      </c>
      <c r="D1506" s="5">
        <v>500</v>
      </c>
      <c r="E1506" s="4" t="str">
        <f t="shared" ref="E1506:E1517" si="112">"Funcionário"</f>
        <v>Funcionário</v>
      </c>
    </row>
    <row r="1507" spans="1:5">
      <c r="A1507" s="4" t="str">
        <f t="shared" si="107"/>
        <v>5</v>
      </c>
      <c r="B1507" s="4" t="str">
        <f>"SHIRLEY APARECIDA DUARTE"</f>
        <v>SHIRLEY APARECIDA DUARTE</v>
      </c>
      <c r="C1507" s="4" t="str">
        <f>"AUX TECNICO ADMINISTRATIVO"</f>
        <v>AUX TECNICO ADMINISTRATIVO</v>
      </c>
      <c r="D1507" s="5">
        <v>500</v>
      </c>
      <c r="E1507" s="4" t="str">
        <f t="shared" si="112"/>
        <v>Funcionário</v>
      </c>
    </row>
    <row r="1508" spans="1:5">
      <c r="A1508" s="4" t="str">
        <f t="shared" si="107"/>
        <v>5</v>
      </c>
      <c r="B1508" s="4" t="str">
        <f>"SHIRLEY BARBARA MARTINS RIBEIRO"</f>
        <v>SHIRLEY BARBARA MARTINS RIBEIRO</v>
      </c>
      <c r="C1508" s="4" t="str">
        <f t="shared" ref="C1508:C1513" si="113">"OFICIAL DE PRODUCAO INDUSTRIAL"</f>
        <v>OFICIAL DE PRODUCAO INDUSTRIAL</v>
      </c>
      <c r="D1508" s="5">
        <v>500</v>
      </c>
      <c r="E1508" s="4" t="str">
        <f t="shared" si="112"/>
        <v>Funcionário</v>
      </c>
    </row>
    <row r="1509" spans="1:5">
      <c r="A1509" s="4" t="str">
        <f t="shared" si="107"/>
        <v>5</v>
      </c>
      <c r="B1509" s="4" t="str">
        <f>"SILMARA ESTELA DOMICIANO"</f>
        <v>SILMARA ESTELA DOMICIANO</v>
      </c>
      <c r="C1509" s="4" t="str">
        <f t="shared" si="113"/>
        <v>OFICIAL DE PRODUCAO INDUSTRIAL</v>
      </c>
      <c r="D1509" s="5">
        <v>500</v>
      </c>
      <c r="E1509" s="4" t="str">
        <f t="shared" si="112"/>
        <v>Funcionário</v>
      </c>
    </row>
    <row r="1510" spans="1:5">
      <c r="A1510" s="4" t="str">
        <f t="shared" si="107"/>
        <v>5</v>
      </c>
      <c r="B1510" s="4" t="str">
        <f>"SILVANA APARECIDA ARAUJO DA SILVA"</f>
        <v>SILVANA APARECIDA ARAUJO DA SILVA</v>
      </c>
      <c r="C1510" s="4" t="str">
        <f t="shared" si="113"/>
        <v>OFICIAL DE PRODUCAO INDUSTRIAL</v>
      </c>
      <c r="D1510" s="5">
        <v>500</v>
      </c>
      <c r="E1510" s="4" t="str">
        <f t="shared" si="112"/>
        <v>Funcionário</v>
      </c>
    </row>
    <row r="1511" spans="1:5">
      <c r="A1511" s="4" t="str">
        <f t="shared" si="107"/>
        <v>5</v>
      </c>
      <c r="B1511" s="4" t="str">
        <f>"SILVANIL JOSE RODRIGUES"</f>
        <v>SILVANIL JOSE RODRIGUES</v>
      </c>
      <c r="C1511" s="4" t="str">
        <f t="shared" si="113"/>
        <v>OFICIAL DE PRODUCAO INDUSTRIAL</v>
      </c>
      <c r="D1511" s="5">
        <v>500</v>
      </c>
      <c r="E1511" s="4" t="str">
        <f t="shared" si="112"/>
        <v>Funcionário</v>
      </c>
    </row>
    <row r="1512" spans="1:5">
      <c r="A1512" s="4" t="str">
        <f t="shared" si="107"/>
        <v>5</v>
      </c>
      <c r="B1512" s="4" t="str">
        <f>"SILVIA HELENA RODRIGUES CANDIDO"</f>
        <v>SILVIA HELENA RODRIGUES CANDIDO</v>
      </c>
      <c r="C1512" s="4" t="str">
        <f t="shared" si="113"/>
        <v>OFICIAL DE PRODUCAO INDUSTRIAL</v>
      </c>
      <c r="D1512" s="5">
        <v>500</v>
      </c>
      <c r="E1512" s="4" t="str">
        <f t="shared" si="112"/>
        <v>Funcionário</v>
      </c>
    </row>
    <row r="1513" spans="1:5">
      <c r="A1513" s="4" t="str">
        <f t="shared" si="107"/>
        <v>5</v>
      </c>
      <c r="B1513" s="4" t="str">
        <f>"SILVIA MARIA VIEIRA PEREIRA"</f>
        <v>SILVIA MARIA VIEIRA PEREIRA</v>
      </c>
      <c r="C1513" s="4" t="str">
        <f t="shared" si="113"/>
        <v>OFICIAL DE PRODUCAO INDUSTRIAL</v>
      </c>
      <c r="D1513" s="5">
        <v>500</v>
      </c>
      <c r="E1513" s="4" t="str">
        <f t="shared" si="112"/>
        <v>Funcionário</v>
      </c>
    </row>
    <row r="1514" spans="1:5">
      <c r="A1514" s="4" t="str">
        <f t="shared" ref="A1514:A1569" si="114">"5"</f>
        <v>5</v>
      </c>
      <c r="B1514" s="4" t="str">
        <f>"SIRLENE MARIA DE SALES FREIRE"</f>
        <v>SIRLENE MARIA DE SALES FREIRE</v>
      </c>
      <c r="C1514" s="4" t="str">
        <f>"AGENTE DE APOIO OPERACIONAL"</f>
        <v>AGENTE DE APOIO OPERACIONAL</v>
      </c>
      <c r="D1514" s="5">
        <v>500</v>
      </c>
      <c r="E1514" s="4" t="str">
        <f t="shared" si="112"/>
        <v>Funcionário</v>
      </c>
    </row>
    <row r="1515" spans="1:5">
      <c r="A1515" s="4" t="str">
        <f t="shared" si="114"/>
        <v>5</v>
      </c>
      <c r="B1515" s="4" t="str">
        <f>"SOLANGE MARA GONZAGA ROSA"</f>
        <v>SOLANGE MARA GONZAGA ROSA</v>
      </c>
      <c r="C1515" s="4" t="str">
        <f>"AGENTE DE APOIO OPERACIONAL"</f>
        <v>AGENTE DE APOIO OPERACIONAL</v>
      </c>
      <c r="D1515" s="5">
        <v>500</v>
      </c>
      <c r="E1515" s="4" t="str">
        <f t="shared" si="112"/>
        <v>Funcionário</v>
      </c>
    </row>
    <row r="1516" spans="1:5">
      <c r="A1516" s="4" t="str">
        <f t="shared" si="114"/>
        <v>5</v>
      </c>
      <c r="B1516" s="4" t="str">
        <f>"SUELE APARECIDA DA SILVA"</f>
        <v>SUELE APARECIDA DA SILVA</v>
      </c>
      <c r="C1516" s="4" t="str">
        <f>"OFICIAL DE PRODUCAO INDUSTRIAL"</f>
        <v>OFICIAL DE PRODUCAO INDUSTRIAL</v>
      </c>
      <c r="D1516" s="5">
        <v>500</v>
      </c>
      <c r="E1516" s="4" t="str">
        <f t="shared" si="112"/>
        <v>Funcionário</v>
      </c>
    </row>
    <row r="1517" spans="1:5">
      <c r="A1517" s="4" t="str">
        <f t="shared" si="114"/>
        <v>5</v>
      </c>
      <c r="B1517" s="4" t="str">
        <f>"SUELY MIREILE RIBEIRO CORTEZ"</f>
        <v>SUELY MIREILE RIBEIRO CORTEZ</v>
      </c>
      <c r="C1517" s="4" t="str">
        <f>"OFICIAL DE PRODUCAO INDUSTRIAL"</f>
        <v>OFICIAL DE PRODUCAO INDUSTRIAL</v>
      </c>
      <c r="D1517" s="5">
        <v>500</v>
      </c>
      <c r="E1517" s="4" t="str">
        <f t="shared" si="112"/>
        <v>Funcionário</v>
      </c>
    </row>
    <row r="1518" spans="1:5">
      <c r="A1518" s="4" t="str">
        <f t="shared" si="114"/>
        <v>5</v>
      </c>
      <c r="B1518" s="4" t="str">
        <f>"TAISSA MICHELE GOMES VILAS BOAS"</f>
        <v>TAISSA MICHELE GOMES VILAS BOAS</v>
      </c>
      <c r="C1518" s="4" t="str">
        <f>"APRENDIZ- PRODUÇÃO"</f>
        <v>APRENDIZ- PRODUÇÃO</v>
      </c>
      <c r="D1518" s="5">
        <v>503</v>
      </c>
      <c r="E1518" s="4" t="str">
        <f>"Aprendiz"</f>
        <v>Aprendiz</v>
      </c>
    </row>
    <row r="1519" spans="1:5">
      <c r="A1519" s="4" t="str">
        <f t="shared" si="114"/>
        <v>5</v>
      </c>
      <c r="B1519" s="4" t="str">
        <f>"TAMIRIS TALITA LOURENÇO RODRIGUES"</f>
        <v>TAMIRIS TALITA LOURENÇO RODRIGUES</v>
      </c>
      <c r="C1519" s="4" t="str">
        <f>"OFICIAL DE PRODUCAO INDUSTRIAL"</f>
        <v>OFICIAL DE PRODUCAO INDUSTRIAL</v>
      </c>
      <c r="D1519" s="5">
        <v>500</v>
      </c>
      <c r="E1519" s="4" t="str">
        <f>"Funcionário"</f>
        <v>Funcionário</v>
      </c>
    </row>
    <row r="1520" spans="1:5">
      <c r="A1520" s="4" t="str">
        <f t="shared" si="114"/>
        <v>5</v>
      </c>
      <c r="B1520" s="4" t="str">
        <f>"TANIA VALERIA BATISTA DE OLIVEIRA"</f>
        <v>TANIA VALERIA BATISTA DE OLIVEIRA</v>
      </c>
      <c r="C1520" s="4" t="str">
        <f>"OFICIAL DE PRODUCAO INDUSTRIAL"</f>
        <v>OFICIAL DE PRODUCAO INDUSTRIAL</v>
      </c>
      <c r="D1520" s="5">
        <v>500</v>
      </c>
      <c r="E1520" s="4" t="str">
        <f>"Funcionário"</f>
        <v>Funcionário</v>
      </c>
    </row>
    <row r="1521" spans="1:5">
      <c r="A1521" s="4" t="str">
        <f t="shared" si="114"/>
        <v>5</v>
      </c>
      <c r="B1521" s="4" t="str">
        <f>"TARCISO FERNANDES"</f>
        <v>TARCISO FERNANDES</v>
      </c>
      <c r="C1521" s="4" t="str">
        <f>"AUXILIAR TECNICO INDUSTRIAL"</f>
        <v>AUXILIAR TECNICO INDUSTRIAL</v>
      </c>
      <c r="D1521" s="5">
        <v>500</v>
      </c>
      <c r="E1521" s="4" t="str">
        <f>"Aposentado"</f>
        <v>Aposentado</v>
      </c>
    </row>
    <row r="1522" spans="1:5">
      <c r="A1522" s="4" t="str">
        <f t="shared" si="114"/>
        <v>5</v>
      </c>
      <c r="B1522" s="4" t="str">
        <f>"TATIANA APARECIDA FERNANDES OLIVEIRA"</f>
        <v>TATIANA APARECIDA FERNANDES OLIVEIRA</v>
      </c>
      <c r="C1522" s="4" t="str">
        <f>"OFICIAL DE PRODUCAO INDUSTRIAL"</f>
        <v>OFICIAL DE PRODUCAO INDUSTRIAL</v>
      </c>
      <c r="D1522" s="5">
        <v>500</v>
      </c>
      <c r="E1522" s="4" t="str">
        <f t="shared" ref="E1522:E1533" si="115">"Funcionário"</f>
        <v>Funcionário</v>
      </c>
    </row>
    <row r="1523" spans="1:5">
      <c r="A1523" s="4" t="str">
        <f t="shared" si="114"/>
        <v>5</v>
      </c>
      <c r="B1523" s="4" t="str">
        <f>"THAYNARA RAQUEL RIBEIRO"</f>
        <v>THAYNARA RAQUEL RIBEIRO</v>
      </c>
      <c r="C1523" s="4" t="str">
        <f>"AUX TECNICO ADMINISTRATIVO"</f>
        <v>AUX TECNICO ADMINISTRATIVO</v>
      </c>
      <c r="D1523" s="5">
        <v>500</v>
      </c>
      <c r="E1523" s="4" t="str">
        <f t="shared" si="115"/>
        <v>Funcionário</v>
      </c>
    </row>
    <row r="1524" spans="1:5">
      <c r="A1524" s="4" t="str">
        <f t="shared" si="114"/>
        <v>5</v>
      </c>
      <c r="B1524" s="4" t="str">
        <f>"THAYRINE STHEPHANIE MUNIZ"</f>
        <v>THAYRINE STHEPHANIE MUNIZ</v>
      </c>
      <c r="C1524" s="4" t="str">
        <f>"AUX TECNICO ADMINISTRATIVO"</f>
        <v>AUX TECNICO ADMINISTRATIVO</v>
      </c>
      <c r="D1524" s="5">
        <v>500</v>
      </c>
      <c r="E1524" s="4" t="str">
        <f t="shared" si="115"/>
        <v>Funcionário</v>
      </c>
    </row>
    <row r="1525" spans="1:5">
      <c r="A1525" s="4" t="str">
        <f t="shared" si="114"/>
        <v>5</v>
      </c>
      <c r="B1525" s="4" t="str">
        <f>"THIAGO JUNQUEIRA REZEK"</f>
        <v>THIAGO JUNQUEIRA REZEK</v>
      </c>
      <c r="C1525" s="4" t="str">
        <f>"ENGENHEIRO"</f>
        <v>ENGENHEIRO</v>
      </c>
      <c r="D1525" s="5">
        <v>500</v>
      </c>
      <c r="E1525" s="4" t="str">
        <f t="shared" si="115"/>
        <v>Funcionário</v>
      </c>
    </row>
    <row r="1526" spans="1:5">
      <c r="A1526" s="4" t="str">
        <f t="shared" si="114"/>
        <v>5</v>
      </c>
      <c r="B1526" s="4" t="str">
        <f>"THIAGO RODRIGO NOBREGA PADUA"</f>
        <v>THIAGO RODRIGO NOBREGA PADUA</v>
      </c>
      <c r="C1526" s="4" t="str">
        <f>"TEC INDUSTRIAL ESPECIALIZADO"</f>
        <v>TEC INDUSTRIAL ESPECIALIZADO</v>
      </c>
      <c r="D1526" s="5">
        <v>500</v>
      </c>
      <c r="E1526" s="4" t="str">
        <f t="shared" si="115"/>
        <v>Funcionário</v>
      </c>
    </row>
    <row r="1527" spans="1:5">
      <c r="A1527" s="4" t="str">
        <f t="shared" si="114"/>
        <v>5</v>
      </c>
      <c r="B1527" s="4" t="str">
        <f>"TIAGO ALEXANDRE SIMOES"</f>
        <v>TIAGO ALEXANDRE SIMOES</v>
      </c>
      <c r="C1527" s="4" t="str">
        <f>"TEC INDUSTRIAL ESPECIALIZADO"</f>
        <v>TEC INDUSTRIAL ESPECIALIZADO</v>
      </c>
      <c r="D1527" s="5">
        <v>500</v>
      </c>
      <c r="E1527" s="4" t="str">
        <f t="shared" si="115"/>
        <v>Funcionário</v>
      </c>
    </row>
    <row r="1528" spans="1:5">
      <c r="A1528" s="4" t="str">
        <f t="shared" si="114"/>
        <v>5</v>
      </c>
      <c r="B1528" s="4" t="str">
        <f>"TIAGO CORTEZ RODRIGUES"</f>
        <v>TIAGO CORTEZ RODRIGUES</v>
      </c>
      <c r="C1528" s="4" t="str">
        <f>"OFICIAL DE PRODUCAO INDUSTRIAL"</f>
        <v>OFICIAL DE PRODUCAO INDUSTRIAL</v>
      </c>
      <c r="D1528" s="5">
        <v>500</v>
      </c>
      <c r="E1528" s="4" t="str">
        <f t="shared" si="115"/>
        <v>Funcionário</v>
      </c>
    </row>
    <row r="1529" spans="1:5">
      <c r="A1529" s="4" t="str">
        <f t="shared" si="114"/>
        <v>5</v>
      </c>
      <c r="B1529" s="4" t="str">
        <f>"TIAGO FLORIANO RIBEIRO"</f>
        <v>TIAGO FLORIANO RIBEIRO</v>
      </c>
      <c r="C1529" s="4" t="str">
        <f>"OFICIAL DE PRODUCAO INDUSTRIAL"</f>
        <v>OFICIAL DE PRODUCAO INDUSTRIAL</v>
      </c>
      <c r="D1529" s="5">
        <v>500</v>
      </c>
      <c r="E1529" s="4" t="str">
        <f t="shared" si="115"/>
        <v>Funcionário</v>
      </c>
    </row>
    <row r="1530" spans="1:5">
      <c r="A1530" s="4" t="str">
        <f t="shared" si="114"/>
        <v>5</v>
      </c>
      <c r="B1530" s="4" t="str">
        <f>"TIAGO JOSE DE CASTRO"</f>
        <v>TIAGO JOSE DE CASTRO</v>
      </c>
      <c r="C1530" s="4" t="str">
        <f>"TECNICO ADM ESPECIALIZADO"</f>
        <v>TECNICO ADM ESPECIALIZADO</v>
      </c>
      <c r="D1530" s="5">
        <v>500</v>
      </c>
      <c r="E1530" s="4" t="str">
        <f t="shared" si="115"/>
        <v>Funcionário</v>
      </c>
    </row>
    <row r="1531" spans="1:5">
      <c r="A1531" s="4" t="str">
        <f t="shared" si="114"/>
        <v>5</v>
      </c>
      <c r="B1531" s="4" t="str">
        <f>"TIAGO JOSE DE CASTRO"</f>
        <v>TIAGO JOSE DE CASTRO</v>
      </c>
      <c r="C1531" s="4" t="str">
        <f>"OFICIAL DE PRODUCAO INDUSTRIAL"</f>
        <v>OFICIAL DE PRODUCAO INDUSTRIAL</v>
      </c>
      <c r="D1531" s="5">
        <v>500</v>
      </c>
      <c r="E1531" s="4" t="str">
        <f t="shared" si="115"/>
        <v>Funcionário</v>
      </c>
    </row>
    <row r="1532" spans="1:5">
      <c r="A1532" s="4" t="str">
        <f t="shared" si="114"/>
        <v>5</v>
      </c>
      <c r="B1532" s="4" t="str">
        <f>"VALDECIR APARECIDO DOS SANTOS"</f>
        <v>VALDECIR APARECIDO DOS SANTOS</v>
      </c>
      <c r="C1532" s="4" t="str">
        <f>"TEC INDUSTRIAL ESPECIALIZADO"</f>
        <v>TEC INDUSTRIAL ESPECIALIZADO</v>
      </c>
      <c r="D1532" s="5">
        <v>500</v>
      </c>
      <c r="E1532" s="4" t="str">
        <f t="shared" si="115"/>
        <v>Funcionário</v>
      </c>
    </row>
    <row r="1533" spans="1:5">
      <c r="A1533" s="4" t="str">
        <f t="shared" si="114"/>
        <v>5</v>
      </c>
      <c r="B1533" s="4" t="str">
        <f>"VALDEMIR LUIZ ANANIAS"</f>
        <v>VALDEMIR LUIZ ANANIAS</v>
      </c>
      <c r="C1533" s="4" t="str">
        <f>"OFICIAL DE PRODUCAO INDUSTRIAL"</f>
        <v>OFICIAL DE PRODUCAO INDUSTRIAL</v>
      </c>
      <c r="D1533" s="5">
        <v>500</v>
      </c>
      <c r="E1533" s="4" t="str">
        <f t="shared" si="115"/>
        <v>Funcionário</v>
      </c>
    </row>
    <row r="1534" spans="1:5">
      <c r="A1534" s="4" t="str">
        <f t="shared" si="114"/>
        <v>5</v>
      </c>
      <c r="B1534" s="4" t="str">
        <f>"VALDEVINO APARECIDO DE SALES"</f>
        <v>VALDEVINO APARECIDO DE SALES</v>
      </c>
      <c r="C1534" s="4" t="str">
        <f>"OFICIAL DE PRODUCAO INDUSTRIAL"</f>
        <v>OFICIAL DE PRODUCAO INDUSTRIAL</v>
      </c>
      <c r="D1534" s="5">
        <v>500</v>
      </c>
      <c r="E1534" s="4" t="str">
        <f>"Aposentado"</f>
        <v>Aposentado</v>
      </c>
    </row>
    <row r="1535" spans="1:5">
      <c r="A1535" s="4" t="str">
        <f t="shared" si="114"/>
        <v>5</v>
      </c>
      <c r="B1535" s="4" t="str">
        <f>"VALDIRENE GERALDA RIBEIRO"</f>
        <v>VALDIRENE GERALDA RIBEIRO</v>
      </c>
      <c r="C1535" s="4" t="str">
        <f>"OFICIAL DE PRODUCAO INDUSTRIAL"</f>
        <v>OFICIAL DE PRODUCAO INDUSTRIAL</v>
      </c>
      <c r="D1535" s="5">
        <v>500</v>
      </c>
      <c r="E1535" s="4" t="str">
        <f>"Funcionário"</f>
        <v>Funcionário</v>
      </c>
    </row>
    <row r="1536" spans="1:5">
      <c r="A1536" s="4" t="str">
        <f t="shared" si="114"/>
        <v>5</v>
      </c>
      <c r="B1536" s="4" t="str">
        <f>"VALERIA DE JESUS RIBEIRO QUEIROZ"</f>
        <v>VALERIA DE JESUS RIBEIRO QUEIROZ</v>
      </c>
      <c r="C1536" s="4" t="str">
        <f>"OFICIAL DE PRODUCAO INDUSTRIAL"</f>
        <v>OFICIAL DE PRODUCAO INDUSTRIAL</v>
      </c>
      <c r="D1536" s="5">
        <v>500</v>
      </c>
      <c r="E1536" s="4" t="str">
        <f>"Funcionário"</f>
        <v>Funcionário</v>
      </c>
    </row>
    <row r="1537" spans="1:5">
      <c r="A1537" s="4" t="str">
        <f t="shared" si="114"/>
        <v>5</v>
      </c>
      <c r="B1537" s="4" t="str">
        <f>"VALMIR DA SILVA ALMEIDA"</f>
        <v>VALMIR DA SILVA ALMEIDA</v>
      </c>
      <c r="C1537" s="4" t="str">
        <f>"OFICIAL DE PRODUCAO INDUSTRIAL"</f>
        <v>OFICIAL DE PRODUCAO INDUSTRIAL</v>
      </c>
      <c r="D1537" s="5">
        <v>500</v>
      </c>
      <c r="E1537" s="4" t="str">
        <f>"Aposentado"</f>
        <v>Aposentado</v>
      </c>
    </row>
    <row r="1538" spans="1:5">
      <c r="A1538" s="4" t="str">
        <f t="shared" si="114"/>
        <v>5</v>
      </c>
      <c r="B1538" s="4" t="str">
        <f>"VALTER DE CASTRO PRUDENTE"</f>
        <v>VALTER DE CASTRO PRUDENTE</v>
      </c>
      <c r="C1538" s="4" t="str">
        <f>"TECNICO ADM ESPECIALIZADO"</f>
        <v>TECNICO ADM ESPECIALIZADO</v>
      </c>
      <c r="D1538" s="5">
        <v>500</v>
      </c>
      <c r="E1538" s="4" t="str">
        <f>"Aposentado"</f>
        <v>Aposentado</v>
      </c>
    </row>
    <row r="1539" spans="1:5">
      <c r="A1539" s="4" t="str">
        <f t="shared" si="114"/>
        <v>5</v>
      </c>
      <c r="B1539" s="4" t="str">
        <f>"VALTER LUIZ CORTEZ"</f>
        <v>VALTER LUIZ CORTEZ</v>
      </c>
      <c r="C1539" s="4" t="str">
        <f>"OF FERRAMENTARIA INDUSTRIAL"</f>
        <v>OF FERRAMENTARIA INDUSTRIAL</v>
      </c>
      <c r="D1539" s="5">
        <v>500</v>
      </c>
      <c r="E1539" s="4" t="str">
        <f>"Aposentado"</f>
        <v>Aposentado</v>
      </c>
    </row>
    <row r="1540" spans="1:5">
      <c r="A1540" s="4" t="str">
        <f t="shared" si="114"/>
        <v>5</v>
      </c>
      <c r="B1540" s="4" t="str">
        <f>"VANDERLEI AGOSTINHO MENDES"</f>
        <v>VANDERLEI AGOSTINHO MENDES</v>
      </c>
      <c r="C1540" s="4" t="str">
        <f>"TEC INDUSTRIAL ESPECIALIZADO"</f>
        <v>TEC INDUSTRIAL ESPECIALIZADO</v>
      </c>
      <c r="D1540" s="5">
        <v>500</v>
      </c>
      <c r="E1540" s="4" t="str">
        <f t="shared" ref="E1540:E1545" si="116">"Funcionário"</f>
        <v>Funcionário</v>
      </c>
    </row>
    <row r="1541" spans="1:5">
      <c r="A1541" s="4" t="str">
        <f t="shared" si="114"/>
        <v>5</v>
      </c>
      <c r="B1541" s="4" t="str">
        <f>"VANDERLEI SANTOS DA SILVA"</f>
        <v>VANDERLEI SANTOS DA SILVA</v>
      </c>
      <c r="C1541" s="4" t="str">
        <f>"OFICIAL DE PRODUCAO INDUSTRIAL"</f>
        <v>OFICIAL DE PRODUCAO INDUSTRIAL</v>
      </c>
      <c r="D1541" s="5">
        <v>500</v>
      </c>
      <c r="E1541" s="4" t="str">
        <f t="shared" si="116"/>
        <v>Funcionário</v>
      </c>
    </row>
    <row r="1542" spans="1:5">
      <c r="A1542" s="4" t="str">
        <f t="shared" si="114"/>
        <v>5</v>
      </c>
      <c r="B1542" s="4" t="str">
        <f>"VANIA LUCIANE DE CARVALHO VIEIRA"</f>
        <v>VANIA LUCIANE DE CARVALHO VIEIRA</v>
      </c>
      <c r="C1542" s="4" t="str">
        <f>"OFICIAL DE PRODUCAO INDUSTRIAL"</f>
        <v>OFICIAL DE PRODUCAO INDUSTRIAL</v>
      </c>
      <c r="D1542" s="5">
        <v>500</v>
      </c>
      <c r="E1542" s="4" t="str">
        <f t="shared" si="116"/>
        <v>Funcionário</v>
      </c>
    </row>
    <row r="1543" spans="1:5">
      <c r="A1543" s="4" t="str">
        <f t="shared" si="114"/>
        <v>5</v>
      </c>
      <c r="B1543" s="4" t="str">
        <f>"VANUZA APARECIDA DOS SANTOS SILVA"</f>
        <v>VANUZA APARECIDA DOS SANTOS SILVA</v>
      </c>
      <c r="C1543" s="4" t="str">
        <f>"OFICIAL DE PRODUCAO INDUSTRIAL"</f>
        <v>OFICIAL DE PRODUCAO INDUSTRIAL</v>
      </c>
      <c r="D1543" s="5">
        <v>500</v>
      </c>
      <c r="E1543" s="4" t="str">
        <f t="shared" si="116"/>
        <v>Funcionário</v>
      </c>
    </row>
    <row r="1544" spans="1:5">
      <c r="A1544" s="4" t="str">
        <f t="shared" si="114"/>
        <v>5</v>
      </c>
      <c r="B1544" s="4" t="str">
        <f>"VERA LUCIA SILVA FERNANDES"</f>
        <v>VERA LUCIA SILVA FERNANDES</v>
      </c>
      <c r="C1544" s="4" t="str">
        <f>"AUX TECNICO ADMINISTRATIVO"</f>
        <v>AUX TECNICO ADMINISTRATIVO</v>
      </c>
      <c r="D1544" s="5">
        <v>500</v>
      </c>
      <c r="E1544" s="4" t="str">
        <f t="shared" si="116"/>
        <v>Funcionário</v>
      </c>
    </row>
    <row r="1545" spans="1:5">
      <c r="A1545" s="4" t="str">
        <f t="shared" si="114"/>
        <v>5</v>
      </c>
      <c r="B1545" s="4" t="str">
        <f>"VERA MARIA MOTA"</f>
        <v>VERA MARIA MOTA</v>
      </c>
      <c r="C1545" s="4" t="str">
        <f>"OF FERRAMENTARIA INDUSTRIAL"</f>
        <v>OF FERRAMENTARIA INDUSTRIAL</v>
      </c>
      <c r="D1545" s="5">
        <v>500</v>
      </c>
      <c r="E1545" s="4" t="str">
        <f t="shared" si="116"/>
        <v>Funcionário</v>
      </c>
    </row>
    <row r="1546" spans="1:5">
      <c r="A1546" s="4" t="str">
        <f t="shared" si="114"/>
        <v>5</v>
      </c>
      <c r="B1546" s="4" t="str">
        <f>"VICENTE TAVARES DA SILVA"</f>
        <v>VICENTE TAVARES DA SILVA</v>
      </c>
      <c r="C1546" s="4" t="str">
        <f>"OFICIAL DE PRODUCAO INDUSTRIAL"</f>
        <v>OFICIAL DE PRODUCAO INDUSTRIAL</v>
      </c>
      <c r="D1546" s="5">
        <v>500</v>
      </c>
      <c r="E1546" s="4" t="str">
        <f>"Aposentado"</f>
        <v>Aposentado</v>
      </c>
    </row>
    <row r="1547" spans="1:5">
      <c r="A1547" s="4" t="str">
        <f t="shared" si="114"/>
        <v>5</v>
      </c>
      <c r="B1547" s="4" t="str">
        <f>"VICENTINA MARTINS FERREIRA"</f>
        <v>VICENTINA MARTINS FERREIRA</v>
      </c>
      <c r="C1547" s="4" t="str">
        <f>"OFICIAL DE PRODUCAO INDUSTRIAL"</f>
        <v>OFICIAL DE PRODUCAO INDUSTRIAL</v>
      </c>
      <c r="D1547" s="5">
        <v>500</v>
      </c>
      <c r="E1547" s="4" t="str">
        <f>"Aposentado"</f>
        <v>Aposentado</v>
      </c>
    </row>
    <row r="1548" spans="1:5">
      <c r="A1548" s="4" t="str">
        <f t="shared" si="114"/>
        <v>5</v>
      </c>
      <c r="B1548" s="4" t="str">
        <f>"VITOR BENTO RODRIGUES"</f>
        <v>VITOR BENTO RODRIGUES</v>
      </c>
      <c r="C1548" s="4" t="str">
        <f>"OFICIAL DE PRODUCAO INDUSTRIAL"</f>
        <v>OFICIAL DE PRODUCAO INDUSTRIAL</v>
      </c>
      <c r="D1548" s="5">
        <v>500</v>
      </c>
      <c r="E1548" s="4" t="str">
        <f>"Aposentado"</f>
        <v>Aposentado</v>
      </c>
    </row>
    <row r="1549" spans="1:5">
      <c r="A1549" s="4" t="str">
        <f t="shared" si="114"/>
        <v>5</v>
      </c>
      <c r="B1549" s="4" t="str">
        <f>"WAGNER ANTONIO LOUREIRO LIMA KREPKE"</f>
        <v>WAGNER ANTONIO LOUREIRO LIMA KREPKE</v>
      </c>
      <c r="C1549" s="4" t="str">
        <f>"MILITAR DA ATIVA"</f>
        <v>MILITAR DA ATIVA</v>
      </c>
      <c r="D1549" s="5">
        <v>505</v>
      </c>
      <c r="E1549" s="4" t="str">
        <f>"Funcionário"</f>
        <v>Funcionário</v>
      </c>
    </row>
    <row r="1550" spans="1:5">
      <c r="A1550" s="4" t="str">
        <f t="shared" si="114"/>
        <v>5</v>
      </c>
      <c r="B1550" s="4" t="str">
        <f>"WAGNER ARMELIM BERNARDO GUIMARAES"</f>
        <v>WAGNER ARMELIM BERNARDO GUIMARAES</v>
      </c>
      <c r="C1550" s="4" t="str">
        <f>"OFICIAL DE PRODUCAO INDUSTRIAL"</f>
        <v>OFICIAL DE PRODUCAO INDUSTRIAL</v>
      </c>
      <c r="D1550" s="5">
        <v>500</v>
      </c>
      <c r="E1550" s="4" t="str">
        <f>"Funcionário"</f>
        <v>Funcionário</v>
      </c>
    </row>
    <row r="1551" spans="1:5">
      <c r="A1551" s="4" t="str">
        <f t="shared" si="114"/>
        <v>5</v>
      </c>
      <c r="B1551" s="4" t="str">
        <f>"WALCIO HENRIQUE DE SOUZA"</f>
        <v>WALCIO HENRIQUE DE SOUZA</v>
      </c>
      <c r="C1551" s="4" t="str">
        <f>"AUXILIAR TECNICO INDUSTRIAL"</f>
        <v>AUXILIAR TECNICO INDUSTRIAL</v>
      </c>
      <c r="D1551" s="5">
        <v>500</v>
      </c>
      <c r="E1551" s="4" t="str">
        <f>"Funcionário"</f>
        <v>Funcionário</v>
      </c>
    </row>
    <row r="1552" spans="1:5">
      <c r="A1552" s="4" t="str">
        <f t="shared" si="114"/>
        <v>5</v>
      </c>
      <c r="B1552" s="4" t="str">
        <f>"WALTER FERNANDES SIQUEIRA"</f>
        <v>WALTER FERNANDES SIQUEIRA</v>
      </c>
      <c r="C1552" s="4" t="str">
        <f>"Estagiario"</f>
        <v>Estagiario</v>
      </c>
      <c r="D1552" s="5">
        <v>502</v>
      </c>
      <c r="E1552" s="4" t="str">
        <f>"Estagiário"</f>
        <v>Estagiário</v>
      </c>
    </row>
    <row r="1553" spans="1:5">
      <c r="A1553" s="4" t="str">
        <f t="shared" si="114"/>
        <v>5</v>
      </c>
      <c r="B1553" s="4" t="str">
        <f>"WANDER MENDES MARTINS"</f>
        <v>WANDER MENDES MARTINS</v>
      </c>
      <c r="C1553" s="4" t="str">
        <f>"ESPECIALISTA"</f>
        <v>ESPECIALISTA</v>
      </c>
      <c r="D1553" s="5">
        <v>500</v>
      </c>
      <c r="E1553" s="4" t="str">
        <f>"Funcionário"</f>
        <v>Funcionário</v>
      </c>
    </row>
    <row r="1554" spans="1:5">
      <c r="A1554" s="4" t="str">
        <f t="shared" si="114"/>
        <v>5</v>
      </c>
      <c r="B1554" s="4" t="str">
        <f>"WANDERLEY PEREIRA MAROTTI"</f>
        <v>WANDERLEY PEREIRA MAROTTI</v>
      </c>
      <c r="C1554" s="4" t="str">
        <f>"AUXILIAR TECNICO INDUSTRIAL"</f>
        <v>AUXILIAR TECNICO INDUSTRIAL</v>
      </c>
      <c r="D1554" s="5">
        <v>500</v>
      </c>
      <c r="E1554" s="4" t="str">
        <f>"Aposentado"</f>
        <v>Aposentado</v>
      </c>
    </row>
    <row r="1555" spans="1:5">
      <c r="A1555" s="4" t="str">
        <f t="shared" si="114"/>
        <v>5</v>
      </c>
      <c r="B1555" s="4" t="str">
        <f>"WELLINGTON CARLOS DE OLIVEIRA"</f>
        <v>WELLINGTON CARLOS DE OLIVEIRA</v>
      </c>
      <c r="C1555" s="4" t="str">
        <f>"ESPECIALISTA"</f>
        <v>ESPECIALISTA</v>
      </c>
      <c r="D1555" s="5">
        <v>500</v>
      </c>
      <c r="E1555" s="4" t="str">
        <f>"Funcionário"</f>
        <v>Funcionário</v>
      </c>
    </row>
    <row r="1556" spans="1:5">
      <c r="A1556" s="4" t="str">
        <f t="shared" si="114"/>
        <v>5</v>
      </c>
      <c r="B1556" s="4" t="str">
        <f>"WELTON DE PAULA PINTO"</f>
        <v>WELTON DE PAULA PINTO</v>
      </c>
      <c r="C1556" s="4" t="str">
        <f>"TEC INDUSTRIAL ESPECIALIZADO"</f>
        <v>TEC INDUSTRIAL ESPECIALIZADO</v>
      </c>
      <c r="D1556" s="5">
        <v>500</v>
      </c>
      <c r="E1556" s="4" t="str">
        <f>"Funcionário"</f>
        <v>Funcionário</v>
      </c>
    </row>
    <row r="1557" spans="1:5">
      <c r="A1557" s="4" t="str">
        <f t="shared" si="114"/>
        <v>5</v>
      </c>
      <c r="B1557" s="4" t="str">
        <f>"WEMERSON LUIZ DA SILVA"</f>
        <v>WEMERSON LUIZ DA SILVA</v>
      </c>
      <c r="C1557" s="4" t="str">
        <f>"OFICIAL DE PRODUCAO INDUSTRIAL"</f>
        <v>OFICIAL DE PRODUCAO INDUSTRIAL</v>
      </c>
      <c r="D1557" s="5">
        <v>500</v>
      </c>
      <c r="E1557" s="4" t="str">
        <f>"Aposentado"</f>
        <v>Aposentado</v>
      </c>
    </row>
    <row r="1558" spans="1:5">
      <c r="A1558" s="4" t="str">
        <f t="shared" si="114"/>
        <v>5</v>
      </c>
      <c r="B1558" s="4" t="str">
        <f>"WESLLEY VILAS BOAS COSTA"</f>
        <v>WESLLEY VILAS BOAS COSTA</v>
      </c>
      <c r="C1558" s="4" t="str">
        <f>"ANALISTA ESPECIALIZADO"</f>
        <v>ANALISTA ESPECIALIZADO</v>
      </c>
      <c r="D1558" s="5">
        <v>500</v>
      </c>
      <c r="E1558" s="4" t="str">
        <f t="shared" ref="E1558:E1564" si="117">"Funcionário"</f>
        <v>Funcionário</v>
      </c>
    </row>
    <row r="1559" spans="1:5">
      <c r="A1559" s="4" t="str">
        <f t="shared" si="114"/>
        <v>5</v>
      </c>
      <c r="B1559" s="4" t="str">
        <f>"WILDNER ALEXANDRE DE MENDONÇA PINTO"</f>
        <v>WILDNER ALEXANDRE DE MENDONÇA PINTO</v>
      </c>
      <c r="C1559" s="4" t="str">
        <f>"ENGENHEIRO"</f>
        <v>ENGENHEIRO</v>
      </c>
      <c r="D1559" s="5">
        <v>500</v>
      </c>
      <c r="E1559" s="4" t="str">
        <f t="shared" si="117"/>
        <v>Funcionário</v>
      </c>
    </row>
    <row r="1560" spans="1:5">
      <c r="A1560" s="4" t="str">
        <f t="shared" si="114"/>
        <v>5</v>
      </c>
      <c r="B1560" s="4" t="str">
        <f>"WILIANS PATRIC DA SILVA"</f>
        <v>WILIANS PATRIC DA SILVA</v>
      </c>
      <c r="C1560" s="4" t="str">
        <f>"MOTORISTA"</f>
        <v>MOTORISTA</v>
      </c>
      <c r="D1560" s="5">
        <v>500</v>
      </c>
      <c r="E1560" s="4" t="str">
        <f t="shared" si="117"/>
        <v>Funcionário</v>
      </c>
    </row>
    <row r="1561" spans="1:5">
      <c r="A1561" s="4" t="str">
        <f t="shared" si="114"/>
        <v>5</v>
      </c>
      <c r="B1561" s="4" t="str">
        <f>"WILLIAN EDUARDO DO CARMO"</f>
        <v>WILLIAN EDUARDO DO CARMO</v>
      </c>
      <c r="C1561" s="4" t="str">
        <f>"OFICIAL DE PRODUCAO INDUSTRIAL"</f>
        <v>OFICIAL DE PRODUCAO INDUSTRIAL</v>
      </c>
      <c r="D1561" s="5">
        <v>500</v>
      </c>
      <c r="E1561" s="4" t="str">
        <f t="shared" si="117"/>
        <v>Funcionário</v>
      </c>
    </row>
    <row r="1562" spans="1:5">
      <c r="A1562" s="4" t="str">
        <f t="shared" si="114"/>
        <v>5</v>
      </c>
      <c r="B1562" s="4" t="str">
        <f>"WILLIAN RIBEIRO DA SILVA"</f>
        <v>WILLIAN RIBEIRO DA SILVA</v>
      </c>
      <c r="C1562" s="4" t="str">
        <f>"OF FERRAMENTARIA INDUSTRIAL"</f>
        <v>OF FERRAMENTARIA INDUSTRIAL</v>
      </c>
      <c r="D1562" s="5">
        <v>500</v>
      </c>
      <c r="E1562" s="4" t="str">
        <f t="shared" si="117"/>
        <v>Funcionário</v>
      </c>
    </row>
    <row r="1563" spans="1:5">
      <c r="A1563" s="4" t="str">
        <f t="shared" si="114"/>
        <v>5</v>
      </c>
      <c r="B1563" s="4" t="str">
        <f>"WILSON ARTHUR NUNES GONÇALVES"</f>
        <v>WILSON ARTHUR NUNES GONÇALVES</v>
      </c>
      <c r="C1563" s="4" t="str">
        <f>"TECNICO ADM ESPECIALIZADO"</f>
        <v>TECNICO ADM ESPECIALIZADO</v>
      </c>
      <c r="D1563" s="5">
        <v>500</v>
      </c>
      <c r="E1563" s="4" t="str">
        <f t="shared" si="117"/>
        <v>Funcionário</v>
      </c>
    </row>
    <row r="1564" spans="1:5">
      <c r="A1564" s="4" t="str">
        <f t="shared" si="114"/>
        <v>5</v>
      </c>
      <c r="B1564" s="4" t="str">
        <f>"WILSON EWERTON FLAVIO MELO"</f>
        <v>WILSON EWERTON FLAVIO MELO</v>
      </c>
      <c r="C1564" s="4" t="str">
        <f>"OF FERRAMENTARIA INDUSTRIAL"</f>
        <v>OF FERRAMENTARIA INDUSTRIAL</v>
      </c>
      <c r="D1564" s="5">
        <v>500</v>
      </c>
      <c r="E1564" s="4" t="str">
        <f t="shared" si="117"/>
        <v>Funcionário</v>
      </c>
    </row>
    <row r="1565" spans="1:5">
      <c r="A1565" s="4" t="str">
        <f t="shared" si="114"/>
        <v>5</v>
      </c>
      <c r="B1565" s="4" t="str">
        <f>"WILSON GONZAGA DA SILVA"</f>
        <v>WILSON GONZAGA DA SILVA</v>
      </c>
      <c r="C1565" s="4" t="str">
        <f>"OFICIAL DE PRODUCAO INDUSTRIAL"</f>
        <v>OFICIAL DE PRODUCAO INDUSTRIAL</v>
      </c>
      <c r="D1565" s="5">
        <v>500</v>
      </c>
      <c r="E1565" s="4" t="str">
        <f>"Aposentado"</f>
        <v>Aposentado</v>
      </c>
    </row>
    <row r="1566" spans="1:5">
      <c r="A1566" s="4" t="str">
        <f t="shared" si="114"/>
        <v>5</v>
      </c>
      <c r="B1566" s="4" t="str">
        <f>"WLADIMIR SILVA DE TOLEDO"</f>
        <v>WLADIMIR SILVA DE TOLEDO</v>
      </c>
      <c r="C1566" s="4" t="str">
        <f>"OFICIAL DE PRODUCAO INDUSTRIAL"</f>
        <v>OFICIAL DE PRODUCAO INDUSTRIAL</v>
      </c>
      <c r="D1566" s="5">
        <v>500</v>
      </c>
      <c r="E1566" s="4" t="str">
        <f>"Funcionário"</f>
        <v>Funcionário</v>
      </c>
    </row>
    <row r="1567" spans="1:5">
      <c r="A1567" s="4" t="str">
        <f t="shared" si="114"/>
        <v>5</v>
      </c>
      <c r="B1567" s="4" t="str">
        <f>"YARA APARECIDA COLOSIMO GONCALVES"</f>
        <v>YARA APARECIDA COLOSIMO GONCALVES</v>
      </c>
      <c r="C1567" s="4" t="str">
        <f>"AUX TECNICO ADMINISTRATIVO"</f>
        <v>AUX TECNICO ADMINISTRATIVO</v>
      </c>
      <c r="D1567" s="5">
        <v>500</v>
      </c>
      <c r="E1567" s="4" t="str">
        <f>"Funcionário"</f>
        <v>Funcionário</v>
      </c>
    </row>
    <row r="1568" spans="1:5">
      <c r="A1568" s="4" t="str">
        <f t="shared" si="114"/>
        <v>5</v>
      </c>
      <c r="B1568" s="4" t="str">
        <f>"YURI FRANCISCO DE TOLEDO"</f>
        <v>YURI FRANCISCO DE TOLEDO</v>
      </c>
      <c r="C1568" s="4" t="str">
        <f>"APRENDIZ- PRODUÇÃO"</f>
        <v>APRENDIZ- PRODUÇÃO</v>
      </c>
      <c r="D1568" s="5">
        <v>503</v>
      </c>
      <c r="E1568" s="4" t="str">
        <f>"Aprendiz"</f>
        <v>Aprendiz</v>
      </c>
    </row>
    <row r="1569" spans="1:5">
      <c r="A1569" s="4" t="str">
        <f t="shared" si="114"/>
        <v>5</v>
      </c>
      <c r="B1569" s="4" t="str">
        <f>"ZELMA RIBEIRO MAGALHAES"</f>
        <v>ZELMA RIBEIRO MAGALHAES</v>
      </c>
      <c r="C1569" s="4" t="str">
        <f>"AGENTE DE APOIO OPERACIONAL"</f>
        <v>AGENTE DE APOIO OPERACIONAL</v>
      </c>
      <c r="D1569" s="5">
        <v>500</v>
      </c>
      <c r="E1569" s="4" t="str">
        <f>"Funcionário"</f>
        <v>Funcionário</v>
      </c>
    </row>
    <row r="1570" spans="1:5">
      <c r="A1570" s="4" t="str">
        <f t="shared" ref="A1570:A1633" si="118">"6"</f>
        <v>6</v>
      </c>
      <c r="B1570" s="4" t="str">
        <f>"ADEMIR PEREIRA DA SILVA"</f>
        <v>ADEMIR PEREIRA DA SILVA</v>
      </c>
      <c r="C1570" s="4" t="str">
        <f>"OFICIAL DE PRODUCAO INDUSTRIAL"</f>
        <v>OFICIAL DE PRODUCAO INDUSTRIAL</v>
      </c>
      <c r="D1570" s="5">
        <v>600</v>
      </c>
      <c r="E1570" s="4" t="str">
        <f>"Aposentado"</f>
        <v>Aposentado</v>
      </c>
    </row>
    <row r="1571" spans="1:5">
      <c r="A1571" s="4" t="str">
        <f t="shared" si="118"/>
        <v>6</v>
      </c>
      <c r="B1571" s="4" t="str">
        <f>"ADENIS SOARES DA SILVA"</f>
        <v>ADENIS SOARES DA SILVA</v>
      </c>
      <c r="C1571" s="4" t="str">
        <f>"TECNICO ADM ESPECIALIZADO"</f>
        <v>TECNICO ADM ESPECIALIZADO</v>
      </c>
      <c r="D1571" s="5">
        <v>600</v>
      </c>
      <c r="E1571" s="4" t="str">
        <f>"Funcionário"</f>
        <v>Funcionário</v>
      </c>
    </row>
    <row r="1572" spans="1:5">
      <c r="A1572" s="4" t="str">
        <f t="shared" si="118"/>
        <v>6</v>
      </c>
      <c r="B1572" s="4" t="str">
        <f>"ADILSON NOGUEIRA MACHADO"</f>
        <v>ADILSON NOGUEIRA MACHADO</v>
      </c>
      <c r="C1572" s="4" t="str">
        <f>"OF FERRAMENTARIA INDUSTRIAL"</f>
        <v>OF FERRAMENTARIA INDUSTRIAL</v>
      </c>
      <c r="D1572" s="5">
        <v>600</v>
      </c>
      <c r="E1572" s="4" t="str">
        <f>"Aposentado"</f>
        <v>Aposentado</v>
      </c>
    </row>
    <row r="1573" spans="1:5">
      <c r="A1573" s="4" t="str">
        <f t="shared" si="118"/>
        <v>6</v>
      </c>
      <c r="B1573" s="4" t="str">
        <f>"ADRIANO PEDROSA"</f>
        <v>ADRIANO PEDROSA</v>
      </c>
      <c r="C1573" s="4" t="str">
        <f>"OFICIAL DE PRODUCAO INDUSTRIAL"</f>
        <v>OFICIAL DE PRODUCAO INDUSTRIAL</v>
      </c>
      <c r="D1573" s="5">
        <v>600</v>
      </c>
      <c r="E1573" s="4" t="str">
        <f>"Funcionário"</f>
        <v>Funcionário</v>
      </c>
    </row>
    <row r="1574" spans="1:5">
      <c r="A1574" s="4" t="str">
        <f t="shared" si="118"/>
        <v>6</v>
      </c>
      <c r="B1574" s="4" t="str">
        <f>"ADRIELLI GOMES TULER"</f>
        <v>ADRIELLI GOMES TULER</v>
      </c>
      <c r="C1574" s="4" t="str">
        <f>"APRENDIZ- ADMINISTRATIVO"</f>
        <v>APRENDIZ- ADMINISTRATIVO</v>
      </c>
      <c r="D1574" s="5">
        <v>603</v>
      </c>
      <c r="E1574" s="4" t="str">
        <f>"Aprendiz"</f>
        <v>Aprendiz</v>
      </c>
    </row>
    <row r="1575" spans="1:5">
      <c r="A1575" s="4" t="str">
        <f t="shared" si="118"/>
        <v>6</v>
      </c>
      <c r="B1575" s="4" t="str">
        <f>"AGENOR LOPES DA COSTA FILHO"</f>
        <v>AGENOR LOPES DA COSTA FILHO</v>
      </c>
      <c r="C1575" s="4" t="str">
        <f>"AUXILIAR TECNICO INDUSTRIAL"</f>
        <v>AUXILIAR TECNICO INDUSTRIAL</v>
      </c>
      <c r="D1575" s="5">
        <v>600</v>
      </c>
      <c r="E1575" s="4" t="str">
        <f>"Aposentado"</f>
        <v>Aposentado</v>
      </c>
    </row>
    <row r="1576" spans="1:5">
      <c r="A1576" s="4" t="str">
        <f t="shared" si="118"/>
        <v>6</v>
      </c>
      <c r="B1576" s="4" t="str">
        <f>"ALAN MARTINS DOS SANTOS"</f>
        <v>ALAN MARTINS DOS SANTOS</v>
      </c>
      <c r="C1576" s="4" t="str">
        <f>"TECNICO ADM ESPECIALIZADO"</f>
        <v>TECNICO ADM ESPECIALIZADO</v>
      </c>
      <c r="D1576" s="5">
        <v>600</v>
      </c>
      <c r="E1576" s="4" t="str">
        <f>"Funcionário"</f>
        <v>Funcionário</v>
      </c>
    </row>
    <row r="1577" spans="1:5">
      <c r="A1577" s="4" t="str">
        <f t="shared" si="118"/>
        <v>6</v>
      </c>
      <c r="B1577" s="4" t="str">
        <f>"ALBERTO FARIA LANCELOTTE"</f>
        <v>ALBERTO FARIA LANCELOTTE</v>
      </c>
      <c r="C1577" s="4" t="str">
        <f>"BOMBEIRO CIVIL"</f>
        <v>BOMBEIRO CIVIL</v>
      </c>
      <c r="D1577" s="5">
        <v>600</v>
      </c>
      <c r="E1577" s="4" t="str">
        <f>"Funcionário"</f>
        <v>Funcionário</v>
      </c>
    </row>
    <row r="1578" spans="1:5">
      <c r="A1578" s="4" t="str">
        <f t="shared" si="118"/>
        <v>6</v>
      </c>
      <c r="B1578" s="4" t="str">
        <f>"ALBERTO FLAVIO RODRIGUES REBELLO"</f>
        <v>ALBERTO FLAVIO RODRIGUES REBELLO</v>
      </c>
      <c r="C1578" s="4" t="str">
        <f>"BOMBEIRO CIVIL"</f>
        <v>BOMBEIRO CIVIL</v>
      </c>
      <c r="D1578" s="5">
        <v>600</v>
      </c>
      <c r="E1578" s="4" t="str">
        <f>"Funcionário"</f>
        <v>Funcionário</v>
      </c>
    </row>
    <row r="1579" spans="1:5">
      <c r="A1579" s="4" t="str">
        <f t="shared" si="118"/>
        <v>6</v>
      </c>
      <c r="B1579" s="4" t="str">
        <f>"ALDINEIA BASTOS DE ARAUJO"</f>
        <v>ALDINEIA BASTOS DE ARAUJO</v>
      </c>
      <c r="C1579" s="4" t="str">
        <f>"OFICIAL DE PRODUCAO INDUSTRIAL"</f>
        <v>OFICIAL DE PRODUCAO INDUSTRIAL</v>
      </c>
      <c r="D1579" s="5">
        <v>600</v>
      </c>
      <c r="E1579" s="4" t="str">
        <f>"Aposentado"</f>
        <v>Aposentado</v>
      </c>
    </row>
    <row r="1580" spans="1:5">
      <c r="A1580" s="4" t="str">
        <f t="shared" si="118"/>
        <v>6</v>
      </c>
      <c r="B1580" s="4" t="str">
        <f>"ALESSANDRO MAX SOARES SILVA"</f>
        <v>ALESSANDRO MAX SOARES SILVA</v>
      </c>
      <c r="C1580" s="4" t="str">
        <f>"MOTORISTA"</f>
        <v>MOTORISTA</v>
      </c>
      <c r="D1580" s="5">
        <v>600</v>
      </c>
      <c r="E1580" s="4" t="str">
        <f>"Funcionário"</f>
        <v>Funcionário</v>
      </c>
    </row>
    <row r="1581" spans="1:5">
      <c r="A1581" s="4" t="str">
        <f t="shared" si="118"/>
        <v>6</v>
      </c>
      <c r="B1581" s="4" t="str">
        <f>"ALEXANDRE DE ABREU FORTES LEITAO"</f>
        <v>ALEXANDRE DE ABREU FORTES LEITAO</v>
      </c>
      <c r="C1581" s="4" t="str">
        <f>"OFICIAL DE PRODUCAO INDUSTRIAL"</f>
        <v>OFICIAL DE PRODUCAO INDUSTRIAL</v>
      </c>
      <c r="D1581" s="5">
        <v>600</v>
      </c>
      <c r="E1581" s="4" t="str">
        <f>"Funcionário"</f>
        <v>Funcionário</v>
      </c>
    </row>
    <row r="1582" spans="1:5">
      <c r="A1582" s="4" t="str">
        <f t="shared" si="118"/>
        <v>6</v>
      </c>
      <c r="B1582" s="4" t="str">
        <f>"ALEXANDRE LEITE SOUZA"</f>
        <v>ALEXANDRE LEITE SOUZA</v>
      </c>
      <c r="C1582" s="4" t="str">
        <f>"AUX TECNICO ADMINISTRATIVO"</f>
        <v>AUX TECNICO ADMINISTRATIVO</v>
      </c>
      <c r="D1582" s="5">
        <v>600</v>
      </c>
      <c r="E1582" s="4" t="str">
        <f>"Funcionário"</f>
        <v>Funcionário</v>
      </c>
    </row>
    <row r="1583" spans="1:5">
      <c r="A1583" s="4" t="str">
        <f t="shared" si="118"/>
        <v>6</v>
      </c>
      <c r="B1583" s="4" t="str">
        <f>"ALEXANDRE LUIS DA SILVA PEREIRA"</f>
        <v>ALEXANDRE LUIS DA SILVA PEREIRA</v>
      </c>
      <c r="C1583" s="4" t="str">
        <f>"AUX TECNICO ADMINISTRATIVO"</f>
        <v>AUX TECNICO ADMINISTRATIVO</v>
      </c>
      <c r="D1583" s="5">
        <v>600</v>
      </c>
      <c r="E1583" s="4" t="str">
        <f>"Funcionário"</f>
        <v>Funcionário</v>
      </c>
    </row>
    <row r="1584" spans="1:5">
      <c r="A1584" s="4" t="str">
        <f t="shared" si="118"/>
        <v>6</v>
      </c>
      <c r="B1584" s="4" t="str">
        <f>"ALEXANDRO SANTOS DA SILVA"</f>
        <v>ALEXANDRO SANTOS DA SILVA</v>
      </c>
      <c r="C1584" s="4" t="str">
        <f>"OFICIAL DE PRODUCAO INDUSTRIAL"</f>
        <v>OFICIAL DE PRODUCAO INDUSTRIAL</v>
      </c>
      <c r="D1584" s="5">
        <v>600</v>
      </c>
      <c r="E1584" s="4" t="str">
        <f>"Funcionário"</f>
        <v>Funcionário</v>
      </c>
    </row>
    <row r="1585" spans="1:5">
      <c r="A1585" s="4" t="str">
        <f t="shared" si="118"/>
        <v>6</v>
      </c>
      <c r="B1585" s="4" t="str">
        <f>"ALFREDO DE ABREU NETO"</f>
        <v>ALFREDO DE ABREU NETO</v>
      </c>
      <c r="C1585" s="4" t="str">
        <f>"TECNICO SEGURANÇA DO TRABALHO"</f>
        <v>TECNICO SEGURANÇA DO TRABALHO</v>
      </c>
      <c r="D1585" s="5">
        <v>600</v>
      </c>
      <c r="E1585" s="4" t="str">
        <f>"Aposentado"</f>
        <v>Aposentado</v>
      </c>
    </row>
    <row r="1586" spans="1:5">
      <c r="A1586" s="4" t="str">
        <f t="shared" si="118"/>
        <v>6</v>
      </c>
      <c r="B1586" s="4" t="str">
        <f>"ALINE MADEIRA DE SOUZA"</f>
        <v>ALINE MADEIRA DE SOUZA</v>
      </c>
      <c r="C1586" s="4" t="str">
        <f>"OFICIAL DE PRODUCAO INDUSTRIAL"</f>
        <v>OFICIAL DE PRODUCAO INDUSTRIAL</v>
      </c>
      <c r="D1586" s="5">
        <v>600</v>
      </c>
      <c r="E1586" s="4" t="str">
        <f t="shared" ref="E1586:E1597" si="119">"Funcionário"</f>
        <v>Funcionário</v>
      </c>
    </row>
    <row r="1587" spans="1:5">
      <c r="A1587" s="4" t="str">
        <f t="shared" si="118"/>
        <v>6</v>
      </c>
      <c r="B1587" s="4" t="str">
        <f>"ALLAN SOUZA DE CARVALHO"</f>
        <v>ALLAN SOUZA DE CARVALHO</v>
      </c>
      <c r="C1587" s="4" t="str">
        <f>"OFICIAL DE PRODUCAO INDUSTRIAL"</f>
        <v>OFICIAL DE PRODUCAO INDUSTRIAL</v>
      </c>
      <c r="D1587" s="5">
        <v>600</v>
      </c>
      <c r="E1587" s="4" t="str">
        <f t="shared" si="119"/>
        <v>Funcionário</v>
      </c>
    </row>
    <row r="1588" spans="1:5">
      <c r="A1588" s="4" t="str">
        <f t="shared" si="118"/>
        <v>6</v>
      </c>
      <c r="B1588" s="4" t="str">
        <f>"AMANDA CECILIA DA SILVA"</f>
        <v>AMANDA CECILIA DA SILVA</v>
      </c>
      <c r="C1588" s="4" t="str">
        <f>"ENGENHEIRO"</f>
        <v>ENGENHEIRO</v>
      </c>
      <c r="D1588" s="5">
        <v>600</v>
      </c>
      <c r="E1588" s="4" t="str">
        <f t="shared" si="119"/>
        <v>Funcionário</v>
      </c>
    </row>
    <row r="1589" spans="1:5">
      <c r="A1589" s="4" t="str">
        <f t="shared" si="118"/>
        <v>6</v>
      </c>
      <c r="B1589" s="4" t="str">
        <f>"AMANDA DA SILVA CARMO DOS SANTOS"</f>
        <v>AMANDA DA SILVA CARMO DOS SANTOS</v>
      </c>
      <c r="C1589" s="4" t="str">
        <f>"AGENTE DE APOIO OPERACIONAL"</f>
        <v>AGENTE DE APOIO OPERACIONAL</v>
      </c>
      <c r="D1589" s="5">
        <v>600</v>
      </c>
      <c r="E1589" s="4" t="str">
        <f t="shared" si="119"/>
        <v>Funcionário</v>
      </c>
    </row>
    <row r="1590" spans="1:5">
      <c r="A1590" s="4" t="str">
        <f t="shared" si="118"/>
        <v>6</v>
      </c>
      <c r="B1590" s="4" t="str">
        <f>"ANA LUCIA MIGUEL COSTA DOS SANTOS"</f>
        <v>ANA LUCIA MIGUEL COSTA DOS SANTOS</v>
      </c>
      <c r="C1590" s="4" t="str">
        <f>"AUX TECNICO III"</f>
        <v>AUX TECNICO III</v>
      </c>
      <c r="D1590" s="5">
        <v>600</v>
      </c>
      <c r="E1590" s="4" t="str">
        <f t="shared" si="119"/>
        <v>Funcionário</v>
      </c>
    </row>
    <row r="1591" spans="1:5">
      <c r="A1591" s="4" t="str">
        <f t="shared" si="118"/>
        <v>6</v>
      </c>
      <c r="B1591" s="4" t="str">
        <f>"ANA PAULA FERREIRA LEONARDO"</f>
        <v>ANA PAULA FERREIRA LEONARDO</v>
      </c>
      <c r="C1591" s="4" t="str">
        <f>"ANALISTA ESPECIALIZADO"</f>
        <v>ANALISTA ESPECIALIZADO</v>
      </c>
      <c r="D1591" s="5">
        <v>600</v>
      </c>
      <c r="E1591" s="4" t="str">
        <f t="shared" si="119"/>
        <v>Funcionário</v>
      </c>
    </row>
    <row r="1592" spans="1:5">
      <c r="A1592" s="4" t="str">
        <f t="shared" si="118"/>
        <v>6</v>
      </c>
      <c r="B1592" s="4" t="str">
        <f>"ANA PAULA FREITAS DE CARVALHO MAIA"</f>
        <v>ANA PAULA FREITAS DE CARVALHO MAIA</v>
      </c>
      <c r="C1592" s="4" t="str">
        <f>"OFICIAL DE PRODUCAO INDUSTRIAL"</f>
        <v>OFICIAL DE PRODUCAO INDUSTRIAL</v>
      </c>
      <c r="D1592" s="5">
        <v>600</v>
      </c>
      <c r="E1592" s="4" t="str">
        <f t="shared" si="119"/>
        <v>Funcionário</v>
      </c>
    </row>
    <row r="1593" spans="1:5">
      <c r="A1593" s="4" t="str">
        <f t="shared" si="118"/>
        <v>6</v>
      </c>
      <c r="B1593" s="4" t="str">
        <f>"ANDERSON DA SILVA RADICH"</f>
        <v>ANDERSON DA SILVA RADICH</v>
      </c>
      <c r="C1593" s="4" t="str">
        <f>"ENGENHEIRO"</f>
        <v>ENGENHEIRO</v>
      </c>
      <c r="D1593" s="5">
        <v>600</v>
      </c>
      <c r="E1593" s="4" t="str">
        <f t="shared" si="119"/>
        <v>Funcionário</v>
      </c>
    </row>
    <row r="1594" spans="1:5">
      <c r="A1594" s="4" t="str">
        <f t="shared" si="118"/>
        <v>6</v>
      </c>
      <c r="B1594" s="4" t="str">
        <f>"ANDRE LUIS CARVALHAL MENEZES"</f>
        <v>ANDRE LUIS CARVALHAL MENEZES</v>
      </c>
      <c r="C1594" s="4" t="str">
        <f>"AUX TECNICO ADMINISTRATIVO"</f>
        <v>AUX TECNICO ADMINISTRATIVO</v>
      </c>
      <c r="D1594" s="5">
        <v>600</v>
      </c>
      <c r="E1594" s="4" t="str">
        <f t="shared" si="119"/>
        <v>Funcionário</v>
      </c>
    </row>
    <row r="1595" spans="1:5">
      <c r="A1595" s="4" t="str">
        <f t="shared" si="118"/>
        <v>6</v>
      </c>
      <c r="B1595" s="4" t="str">
        <f>"ANDRESSA JOANNES MEDINA DA SILVA"</f>
        <v>ANDRESSA JOANNES MEDINA DA SILVA</v>
      </c>
      <c r="C1595" s="4" t="str">
        <f>"TECNICO SEGURANÇA DO TRABALHO"</f>
        <v>TECNICO SEGURANÇA DO TRABALHO</v>
      </c>
      <c r="D1595" s="5">
        <v>600</v>
      </c>
      <c r="E1595" s="4" t="str">
        <f t="shared" si="119"/>
        <v>Funcionário</v>
      </c>
    </row>
    <row r="1596" spans="1:5">
      <c r="A1596" s="4" t="str">
        <f t="shared" si="118"/>
        <v>6</v>
      </c>
      <c r="B1596" s="4" t="str">
        <f>"ANGELICA DE SOUZA EL PASSOS"</f>
        <v>ANGELICA DE SOUZA EL PASSOS</v>
      </c>
      <c r="C1596" s="4" t="str">
        <f>"TEC INDUSTRIAL ESPECIALIZADO"</f>
        <v>TEC INDUSTRIAL ESPECIALIZADO</v>
      </c>
      <c r="D1596" s="5">
        <v>600</v>
      </c>
      <c r="E1596" s="4" t="str">
        <f t="shared" si="119"/>
        <v>Funcionário</v>
      </c>
    </row>
    <row r="1597" spans="1:5">
      <c r="A1597" s="4" t="str">
        <f t="shared" si="118"/>
        <v>6</v>
      </c>
      <c r="B1597" s="4" t="str">
        <f>"ANTHONY CLAYTON DE PAULA"</f>
        <v>ANTHONY CLAYTON DE PAULA</v>
      </c>
      <c r="C1597" s="4" t="str">
        <f>"ENGENHEIRO"</f>
        <v>ENGENHEIRO</v>
      </c>
      <c r="D1597" s="5">
        <v>600</v>
      </c>
      <c r="E1597" s="4" t="str">
        <f t="shared" si="119"/>
        <v>Funcionário</v>
      </c>
    </row>
    <row r="1598" spans="1:5">
      <c r="A1598" s="4" t="str">
        <f t="shared" si="118"/>
        <v>6</v>
      </c>
      <c r="B1598" s="4" t="str">
        <f>"ANTONIO CARLOS FERREIRA"</f>
        <v>ANTONIO CARLOS FERREIRA</v>
      </c>
      <c r="C1598" s="4" t="str">
        <f>"OFICIAL DE PRODUCAO INDUSTRIAL"</f>
        <v>OFICIAL DE PRODUCAO INDUSTRIAL</v>
      </c>
      <c r="D1598" s="5">
        <v>600</v>
      </c>
      <c r="E1598" s="4" t="str">
        <f>"Aposentado"</f>
        <v>Aposentado</v>
      </c>
    </row>
    <row r="1599" spans="1:5">
      <c r="A1599" s="4" t="str">
        <f t="shared" si="118"/>
        <v>6</v>
      </c>
      <c r="B1599" s="4" t="str">
        <f>"ANTONIO CARLOS XAVIER DA SILVA"</f>
        <v>ANTONIO CARLOS XAVIER DA SILVA</v>
      </c>
      <c r="C1599" s="4" t="str">
        <f>"OPER PRODUCAO III"</f>
        <v>OPER PRODUCAO III</v>
      </c>
      <c r="D1599" s="5">
        <v>600</v>
      </c>
      <c r="E1599" s="4" t="str">
        <f>"Funcionário"</f>
        <v>Funcionário</v>
      </c>
    </row>
    <row r="1600" spans="1:5">
      <c r="A1600" s="4" t="str">
        <f t="shared" si="118"/>
        <v>6</v>
      </c>
      <c r="B1600" s="4" t="str">
        <f>"ANTONIO FRANCISCO DE SOUZA"</f>
        <v>ANTONIO FRANCISCO DE SOUZA</v>
      </c>
      <c r="C1600" s="4" t="str">
        <f>"AGENTE DE APOIO OPERACIONAL"</f>
        <v>AGENTE DE APOIO OPERACIONAL</v>
      </c>
      <c r="D1600" s="5">
        <v>600</v>
      </c>
      <c r="E1600" s="4" t="str">
        <f>"Funcionário"</f>
        <v>Funcionário</v>
      </c>
    </row>
    <row r="1601" spans="1:5">
      <c r="A1601" s="4" t="str">
        <f t="shared" si="118"/>
        <v>6</v>
      </c>
      <c r="B1601" s="4" t="str">
        <f>"ANTONIO PAULINO DOS SANTOS"</f>
        <v>ANTONIO PAULINO DOS SANTOS</v>
      </c>
      <c r="C1601" s="4" t="str">
        <f>"AUX TECNICO ADMINISTRATIVO"</f>
        <v>AUX TECNICO ADMINISTRATIVO</v>
      </c>
      <c r="D1601" s="5">
        <v>600</v>
      </c>
      <c r="E1601" s="4" t="str">
        <f>"Funcionário"</f>
        <v>Funcionário</v>
      </c>
    </row>
    <row r="1602" spans="1:5">
      <c r="A1602" s="4" t="str">
        <f t="shared" si="118"/>
        <v>6</v>
      </c>
      <c r="B1602" s="4" t="str">
        <f>"ARMANDO FERREIRA DIAS"</f>
        <v>ARMANDO FERREIRA DIAS</v>
      </c>
      <c r="C1602" s="4" t="str">
        <f>"OFICIAL DE PRODUCAO INDUSTRIAL"</f>
        <v>OFICIAL DE PRODUCAO INDUSTRIAL</v>
      </c>
      <c r="D1602" s="5">
        <v>600</v>
      </c>
      <c r="E1602" s="4" t="str">
        <f>"Funcionário"</f>
        <v>Funcionário</v>
      </c>
    </row>
    <row r="1603" spans="1:5">
      <c r="A1603" s="4" t="str">
        <f t="shared" si="118"/>
        <v>6</v>
      </c>
      <c r="B1603" s="4" t="str">
        <f>"ARMILDO DE OLIVEIRA FERREIRA"</f>
        <v>ARMILDO DE OLIVEIRA FERREIRA</v>
      </c>
      <c r="C1603" s="4" t="str">
        <f>"OFICIAL DE PRODUCAO INDUSTRIAL"</f>
        <v>OFICIAL DE PRODUCAO INDUSTRIAL</v>
      </c>
      <c r="D1603" s="5">
        <v>600</v>
      </c>
      <c r="E1603" s="4" t="str">
        <f>"Aposentado"</f>
        <v>Aposentado</v>
      </c>
    </row>
    <row r="1604" spans="1:5">
      <c r="A1604" s="4" t="str">
        <f t="shared" si="118"/>
        <v>6</v>
      </c>
      <c r="B1604" s="4" t="str">
        <f>"ARNALDO DA SILVA BRONZONI"</f>
        <v>ARNALDO DA SILVA BRONZONI</v>
      </c>
      <c r="C1604" s="4" t="str">
        <f>"AUXILIAR TEC ADMINISTRATIVO"</f>
        <v>AUXILIAR TEC ADMINISTRATIVO</v>
      </c>
      <c r="D1604" s="5">
        <v>600</v>
      </c>
      <c r="E1604" s="4" t="str">
        <f>"Funcionário"</f>
        <v>Funcionário</v>
      </c>
    </row>
    <row r="1605" spans="1:5">
      <c r="A1605" s="4" t="str">
        <f t="shared" si="118"/>
        <v>6</v>
      </c>
      <c r="B1605" s="4" t="str">
        <f>"AURELIO DA SILVA BALDUINO"</f>
        <v>AURELIO DA SILVA BALDUINO</v>
      </c>
      <c r="C1605" s="4" t="str">
        <f>"OFICIAL DE PRODUCAO INDUSTRIAL"</f>
        <v>OFICIAL DE PRODUCAO INDUSTRIAL</v>
      </c>
      <c r="D1605" s="5">
        <v>600</v>
      </c>
      <c r="E1605" s="4" t="str">
        <f>"Funcionário"</f>
        <v>Funcionário</v>
      </c>
    </row>
    <row r="1606" spans="1:5">
      <c r="A1606" s="4" t="str">
        <f t="shared" si="118"/>
        <v>6</v>
      </c>
      <c r="B1606" s="4" t="str">
        <f>"BARBARA HENRIETTE DA SILVA SCHONS"</f>
        <v>BARBARA HENRIETTE DA SILVA SCHONS</v>
      </c>
      <c r="C1606" s="4" t="str">
        <f>"TEC INDUSTRIAL ESPECIALIZADO"</f>
        <v>TEC INDUSTRIAL ESPECIALIZADO</v>
      </c>
      <c r="D1606" s="5">
        <v>600</v>
      </c>
      <c r="E1606" s="4" t="str">
        <f>"Funcionário"</f>
        <v>Funcionário</v>
      </c>
    </row>
    <row r="1607" spans="1:5">
      <c r="A1607" s="4" t="str">
        <f t="shared" si="118"/>
        <v>6</v>
      </c>
      <c r="B1607" s="4" t="str">
        <f>"BEATRIZ NEVES ALVES"</f>
        <v>BEATRIZ NEVES ALVES</v>
      </c>
      <c r="C1607" s="4" t="str">
        <f>"APRENDIZ- ADMINISTRATIVO"</f>
        <v>APRENDIZ- ADMINISTRATIVO</v>
      </c>
      <c r="D1607" s="5">
        <v>603</v>
      </c>
      <c r="E1607" s="4" t="str">
        <f>"Aprendiz"</f>
        <v>Aprendiz</v>
      </c>
    </row>
    <row r="1608" spans="1:5">
      <c r="A1608" s="4" t="str">
        <f t="shared" si="118"/>
        <v>6</v>
      </c>
      <c r="B1608" s="4" t="str">
        <f>"BERNARDETE ESTEVES"</f>
        <v>BERNARDETE ESTEVES</v>
      </c>
      <c r="C1608" s="4" t="str">
        <f>"TECNICO ADM ESPECIALIZADO"</f>
        <v>TECNICO ADM ESPECIALIZADO</v>
      </c>
      <c r="D1608" s="5">
        <v>600</v>
      </c>
      <c r="E1608" s="4" t="str">
        <f>"Aposentado"</f>
        <v>Aposentado</v>
      </c>
    </row>
    <row r="1609" spans="1:5">
      <c r="A1609" s="4" t="str">
        <f t="shared" si="118"/>
        <v>6</v>
      </c>
      <c r="B1609" s="4" t="str">
        <f>"BRAZ GUILHERME DA SILVA CASTRO"</f>
        <v>BRAZ GUILHERME DA SILVA CASTRO</v>
      </c>
      <c r="C1609" s="4" t="str">
        <f>"TEC INDUSTRIAL ESPECIALIZADO"</f>
        <v>TEC INDUSTRIAL ESPECIALIZADO</v>
      </c>
      <c r="D1609" s="5">
        <v>600</v>
      </c>
      <c r="E1609" s="4" t="str">
        <f>"Funcionário"</f>
        <v>Funcionário</v>
      </c>
    </row>
    <row r="1610" spans="1:5">
      <c r="A1610" s="4" t="str">
        <f t="shared" si="118"/>
        <v>6</v>
      </c>
      <c r="B1610" s="4" t="str">
        <f>"BRENO MEDEIROS SILVA"</f>
        <v>BRENO MEDEIROS SILVA</v>
      </c>
      <c r="C1610" s="4" t="str">
        <f>"TEC INDUSTRIAL ESPECIALIZADO"</f>
        <v>TEC INDUSTRIAL ESPECIALIZADO</v>
      </c>
      <c r="D1610" s="5">
        <v>600</v>
      </c>
      <c r="E1610" s="4" t="str">
        <f>"Funcionário"</f>
        <v>Funcionário</v>
      </c>
    </row>
    <row r="1611" spans="1:5">
      <c r="A1611" s="4" t="str">
        <f t="shared" si="118"/>
        <v>6</v>
      </c>
      <c r="B1611" s="4" t="str">
        <f>"BRUNA MOREIRA DA SILVA"</f>
        <v>BRUNA MOREIRA DA SILVA</v>
      </c>
      <c r="C1611" s="4" t="str">
        <f>"TECNICO ADM ESPECIALIZADO"</f>
        <v>TECNICO ADM ESPECIALIZADO</v>
      </c>
      <c r="D1611" s="5">
        <v>600</v>
      </c>
      <c r="E1611" s="4" t="str">
        <f>"Funcionário"</f>
        <v>Funcionário</v>
      </c>
    </row>
    <row r="1612" spans="1:5">
      <c r="A1612" s="4" t="str">
        <f t="shared" si="118"/>
        <v>6</v>
      </c>
      <c r="B1612" s="4" t="str">
        <f>"BRUNO RENATO DRAPAL DOS SANTOS"</f>
        <v>BRUNO RENATO DRAPAL DOS SANTOS</v>
      </c>
      <c r="C1612" s="4" t="str">
        <f>"ADVOGADO"</f>
        <v>ADVOGADO</v>
      </c>
      <c r="D1612" s="5">
        <v>604</v>
      </c>
      <c r="E1612" s="4" t="str">
        <f>"Funcionário"</f>
        <v>Funcionário</v>
      </c>
    </row>
    <row r="1613" spans="1:5">
      <c r="A1613" s="4" t="str">
        <f t="shared" si="118"/>
        <v>6</v>
      </c>
      <c r="B1613" s="4" t="str">
        <f>"CAIO SOARES ESTEVES ALVES DA SILVA"</f>
        <v>CAIO SOARES ESTEVES ALVES DA SILVA</v>
      </c>
      <c r="C1613" s="4" t="str">
        <f>"TECNICO ADM ESPECIALIZADO"</f>
        <v>TECNICO ADM ESPECIALIZADO</v>
      </c>
      <c r="D1613" s="5">
        <v>600</v>
      </c>
      <c r="E1613" s="4" t="str">
        <f>"Funcionário"</f>
        <v>Funcionário</v>
      </c>
    </row>
    <row r="1614" spans="1:5">
      <c r="A1614" s="4" t="str">
        <f t="shared" si="118"/>
        <v>6</v>
      </c>
      <c r="B1614" s="4" t="str">
        <f>"CAIQUE DOS SANTOS DE ARAUJO"</f>
        <v>CAIQUE DOS SANTOS DE ARAUJO</v>
      </c>
      <c r="C1614" s="4" t="str">
        <f>"APRENDIZ- ADMINISTRATIVO"</f>
        <v>APRENDIZ- ADMINISTRATIVO</v>
      </c>
      <c r="D1614" s="5">
        <v>603</v>
      </c>
      <c r="E1614" s="4" t="str">
        <f>"Aprendiz"</f>
        <v>Aprendiz</v>
      </c>
    </row>
    <row r="1615" spans="1:5">
      <c r="A1615" s="4" t="str">
        <f t="shared" si="118"/>
        <v>6</v>
      </c>
      <c r="B1615" s="4" t="str">
        <f>"CARINA FERREIRA DA CUNHA"</f>
        <v>CARINA FERREIRA DA CUNHA</v>
      </c>
      <c r="C1615" s="4" t="str">
        <f>"TECNICO ADM ESPECIALIZADO"</f>
        <v>TECNICO ADM ESPECIALIZADO</v>
      </c>
      <c r="D1615" s="5">
        <v>600</v>
      </c>
      <c r="E1615" s="4" t="str">
        <f>"Funcionário"</f>
        <v>Funcionário</v>
      </c>
    </row>
    <row r="1616" spans="1:5">
      <c r="A1616" s="4" t="str">
        <f t="shared" si="118"/>
        <v>6</v>
      </c>
      <c r="B1616" s="4" t="str">
        <f>"CARLA RENATA DA COSTA SILVA"</f>
        <v>CARLA RENATA DA COSTA SILVA</v>
      </c>
      <c r="C1616" s="4" t="str">
        <f>"OFICIAL DE PRODUCAO INDUSTRIAL"</f>
        <v>OFICIAL DE PRODUCAO INDUSTRIAL</v>
      </c>
      <c r="D1616" s="5">
        <v>600</v>
      </c>
      <c r="E1616" s="4" t="str">
        <f>"Funcionário"</f>
        <v>Funcionário</v>
      </c>
    </row>
    <row r="1617" spans="1:5">
      <c r="A1617" s="4" t="str">
        <f t="shared" si="118"/>
        <v>6</v>
      </c>
      <c r="B1617" s="4" t="str">
        <f>"CARLOS ALBERTO DE MELLO COLLARES JUNIOR"</f>
        <v>CARLOS ALBERTO DE MELLO COLLARES JUNIOR</v>
      </c>
      <c r="C1617" s="4" t="str">
        <f>"AUX TECNICO ADMINISTRATIVO"</f>
        <v>AUX TECNICO ADMINISTRATIVO</v>
      </c>
      <c r="D1617" s="5">
        <v>600</v>
      </c>
      <c r="E1617" s="4" t="str">
        <f>"Funcionário"</f>
        <v>Funcionário</v>
      </c>
    </row>
    <row r="1618" spans="1:5">
      <c r="A1618" s="4" t="str">
        <f t="shared" si="118"/>
        <v>6</v>
      </c>
      <c r="B1618" s="4" t="str">
        <f>"CARLOS ALBERTO DO NASCIMENTO DA SILVA"</f>
        <v>CARLOS ALBERTO DO NASCIMENTO DA SILVA</v>
      </c>
      <c r="C1618" s="4" t="str">
        <f>"OFICIAL DE PRODUCAO INDUSTRIAL"</f>
        <v>OFICIAL DE PRODUCAO INDUSTRIAL</v>
      </c>
      <c r="D1618" s="5">
        <v>600</v>
      </c>
      <c r="E1618" s="4" t="str">
        <f>"Aposentado"</f>
        <v>Aposentado</v>
      </c>
    </row>
    <row r="1619" spans="1:5">
      <c r="A1619" s="4" t="str">
        <f t="shared" si="118"/>
        <v>6</v>
      </c>
      <c r="B1619" s="4" t="str">
        <f>"CARLOS AUGUSTO PAIVA"</f>
        <v>CARLOS AUGUSTO PAIVA</v>
      </c>
      <c r="C1619" s="4" t="str">
        <f>"TEC INDUSTRIAL ESPECIALIZADO"</f>
        <v>TEC INDUSTRIAL ESPECIALIZADO</v>
      </c>
      <c r="D1619" s="5">
        <v>600</v>
      </c>
      <c r="E1619" s="4" t="str">
        <f>"Funcionário"</f>
        <v>Funcionário</v>
      </c>
    </row>
    <row r="1620" spans="1:5">
      <c r="A1620" s="4" t="str">
        <f t="shared" si="118"/>
        <v>6</v>
      </c>
      <c r="B1620" s="4" t="str">
        <f>"CARLOS ERNANE MATEUS"</f>
        <v>CARLOS ERNANE MATEUS</v>
      </c>
      <c r="C1620" s="4" t="str">
        <f>"OFICIAL DE PRODUCAO INDUSTRIAL"</f>
        <v>OFICIAL DE PRODUCAO INDUSTRIAL</v>
      </c>
      <c r="D1620" s="5">
        <v>600</v>
      </c>
      <c r="E1620" s="4" t="str">
        <f>"Funcionário"</f>
        <v>Funcionário</v>
      </c>
    </row>
    <row r="1621" spans="1:5">
      <c r="A1621" s="4" t="str">
        <f t="shared" si="118"/>
        <v>6</v>
      </c>
      <c r="B1621" s="4" t="str">
        <f>"CARLOS FERREIRA ANGELO"</f>
        <v>CARLOS FERREIRA ANGELO</v>
      </c>
      <c r="C1621" s="4" t="str">
        <f>"OPER PRODUCAO III"</f>
        <v>OPER PRODUCAO III</v>
      </c>
      <c r="D1621" s="5">
        <v>600</v>
      </c>
      <c r="E1621" s="4" t="str">
        <f>"Funcionário"</f>
        <v>Funcionário</v>
      </c>
    </row>
    <row r="1622" spans="1:5">
      <c r="A1622" s="4" t="str">
        <f t="shared" si="118"/>
        <v>6</v>
      </c>
      <c r="B1622" s="4" t="str">
        <f>"CARLOS GUILHERME FERNANDES DE ARAUJO"</f>
        <v>CARLOS GUILHERME FERNANDES DE ARAUJO</v>
      </c>
      <c r="C1622" s="4" t="str">
        <f>"ESPECIALISTA"</f>
        <v>ESPECIALISTA</v>
      </c>
      <c r="D1622" s="5">
        <v>600</v>
      </c>
      <c r="E1622" s="4" t="str">
        <f>"Aposentado"</f>
        <v>Aposentado</v>
      </c>
    </row>
    <row r="1623" spans="1:5">
      <c r="A1623" s="4" t="str">
        <f t="shared" si="118"/>
        <v>6</v>
      </c>
      <c r="B1623" s="4" t="str">
        <f>"CARLOS MAGNO DE SÁ"</f>
        <v>CARLOS MAGNO DE SÁ</v>
      </c>
      <c r="C1623" s="4" t="str">
        <f>"ENGENHEIRO"</f>
        <v>ENGENHEIRO</v>
      </c>
      <c r="D1623" s="5">
        <v>600</v>
      </c>
      <c r="E1623" s="4" t="str">
        <f>"Funcionário"</f>
        <v>Funcionário</v>
      </c>
    </row>
    <row r="1624" spans="1:5">
      <c r="A1624" s="4" t="str">
        <f t="shared" si="118"/>
        <v>6</v>
      </c>
      <c r="B1624" s="4" t="str">
        <f>"CARMEM DE ANDRADE DE OLIVEIRA"</f>
        <v>CARMEM DE ANDRADE DE OLIVEIRA</v>
      </c>
      <c r="C1624" s="4" t="str">
        <f>"SECRETARIA I"</f>
        <v>SECRETARIA I</v>
      </c>
      <c r="D1624" s="5">
        <v>600</v>
      </c>
      <c r="E1624" s="4" t="str">
        <f>"Funcionário"</f>
        <v>Funcionário</v>
      </c>
    </row>
    <row r="1625" spans="1:5">
      <c r="A1625" s="4" t="str">
        <f t="shared" si="118"/>
        <v>6</v>
      </c>
      <c r="B1625" s="4" t="str">
        <f>"CAROLINE FERREIRA DA CRUZ"</f>
        <v>CAROLINE FERREIRA DA CRUZ</v>
      </c>
      <c r="C1625" s="4" t="str">
        <f>"APRENDIZ- ADMINISTRATIVO"</f>
        <v>APRENDIZ- ADMINISTRATIVO</v>
      </c>
      <c r="D1625" s="5">
        <v>603</v>
      </c>
      <c r="E1625" s="4" t="str">
        <f>"Aprendiz"</f>
        <v>Aprendiz</v>
      </c>
    </row>
    <row r="1626" spans="1:5">
      <c r="A1626" s="4" t="str">
        <f t="shared" si="118"/>
        <v>6</v>
      </c>
      <c r="B1626" s="4" t="str">
        <f>"CELIO DOS SANTOS DA SILVA"</f>
        <v>CELIO DOS SANTOS DA SILVA</v>
      </c>
      <c r="C1626" s="4" t="str">
        <f>"AUXILIAR TECNICO INDUSTRIAL"</f>
        <v>AUXILIAR TECNICO INDUSTRIAL</v>
      </c>
      <c r="D1626" s="5">
        <v>600</v>
      </c>
      <c r="E1626" s="4" t="str">
        <f>"Aposentado"</f>
        <v>Aposentado</v>
      </c>
    </row>
    <row r="1627" spans="1:5">
      <c r="A1627" s="4" t="str">
        <f t="shared" si="118"/>
        <v>6</v>
      </c>
      <c r="B1627" s="4" t="str">
        <f>"CESAR LEONARDO BRAGA AROUCHE DA SILVA"</f>
        <v>CESAR LEONARDO BRAGA AROUCHE DA SILVA</v>
      </c>
      <c r="C1627" s="4" t="str">
        <f>"MILITAR DA ATIVA"</f>
        <v>MILITAR DA ATIVA</v>
      </c>
      <c r="D1627" s="5">
        <v>605</v>
      </c>
      <c r="E1627" s="4" t="str">
        <f t="shared" ref="E1627:E1635" si="120">"Funcionário"</f>
        <v>Funcionário</v>
      </c>
    </row>
    <row r="1628" spans="1:5">
      <c r="A1628" s="4" t="str">
        <f t="shared" si="118"/>
        <v>6</v>
      </c>
      <c r="B1628" s="4" t="str">
        <f>"CHRISTIAN LADEIRA DOS SANTOS"</f>
        <v>CHRISTIAN LADEIRA DOS SANTOS</v>
      </c>
      <c r="C1628" s="4" t="str">
        <f>"ANALISTA ESPECIALIZADO"</f>
        <v>ANALISTA ESPECIALIZADO</v>
      </c>
      <c r="D1628" s="5">
        <v>600</v>
      </c>
      <c r="E1628" s="4" t="str">
        <f t="shared" si="120"/>
        <v>Funcionário</v>
      </c>
    </row>
    <row r="1629" spans="1:5">
      <c r="A1629" s="4" t="str">
        <f t="shared" si="118"/>
        <v>6</v>
      </c>
      <c r="B1629" s="4" t="str">
        <f>"CLAUDIA DA COSTA MONTEIRO DE BARROS"</f>
        <v>CLAUDIA DA COSTA MONTEIRO DE BARROS</v>
      </c>
      <c r="C1629" s="4" t="str">
        <f>"ENGENHEIRO"</f>
        <v>ENGENHEIRO</v>
      </c>
      <c r="D1629" s="5">
        <v>600</v>
      </c>
      <c r="E1629" s="4" t="str">
        <f t="shared" si="120"/>
        <v>Funcionário</v>
      </c>
    </row>
    <row r="1630" spans="1:5">
      <c r="A1630" s="4" t="str">
        <f t="shared" si="118"/>
        <v>6</v>
      </c>
      <c r="B1630" s="4" t="str">
        <f>"CLAUDIO ROBERTO DOS SANTOS"</f>
        <v>CLAUDIO ROBERTO DOS SANTOS</v>
      </c>
      <c r="C1630" s="4" t="str">
        <f>"ELETRICISTA DE MANUT. III"</f>
        <v>ELETRICISTA DE MANUT. III</v>
      </c>
      <c r="D1630" s="5">
        <v>600</v>
      </c>
      <c r="E1630" s="4" t="str">
        <f t="shared" si="120"/>
        <v>Funcionário</v>
      </c>
    </row>
    <row r="1631" spans="1:5">
      <c r="A1631" s="4" t="str">
        <f t="shared" si="118"/>
        <v>6</v>
      </c>
      <c r="B1631" s="4" t="str">
        <f>"CLAUDIO ROBERTO RAVANI DOS SANTOS"</f>
        <v>CLAUDIO ROBERTO RAVANI DOS SANTOS</v>
      </c>
      <c r="C1631" s="4" t="str">
        <f>"OFICIAL DE PRODUCAO INDUSTRIAL"</f>
        <v>OFICIAL DE PRODUCAO INDUSTRIAL</v>
      </c>
      <c r="D1631" s="5">
        <v>600</v>
      </c>
      <c r="E1631" s="4" t="str">
        <f t="shared" si="120"/>
        <v>Funcionário</v>
      </c>
    </row>
    <row r="1632" spans="1:5">
      <c r="A1632" s="4" t="str">
        <f t="shared" si="118"/>
        <v>6</v>
      </c>
      <c r="B1632" s="4" t="str">
        <f>"CLAUDIO SILVA ALVES DE BARROS"</f>
        <v>CLAUDIO SILVA ALVES DE BARROS</v>
      </c>
      <c r="C1632" s="4" t="str">
        <f>"OFICIAL DE PRODUCAO INDUSTRIAL"</f>
        <v>OFICIAL DE PRODUCAO INDUSTRIAL</v>
      </c>
      <c r="D1632" s="5">
        <v>600</v>
      </c>
      <c r="E1632" s="4" t="str">
        <f t="shared" si="120"/>
        <v>Funcionário</v>
      </c>
    </row>
    <row r="1633" spans="1:5">
      <c r="A1633" s="4" t="str">
        <f t="shared" si="118"/>
        <v>6</v>
      </c>
      <c r="B1633" s="4" t="str">
        <f>"CLAUDIO VIANNA DUTRA"</f>
        <v>CLAUDIO VIANNA DUTRA</v>
      </c>
      <c r="C1633" s="4" t="str">
        <f>"OFICIAL DE PRODUCAO INDUSTRIAL"</f>
        <v>OFICIAL DE PRODUCAO INDUSTRIAL</v>
      </c>
      <c r="D1633" s="5">
        <v>600</v>
      </c>
      <c r="E1633" s="4" t="str">
        <f t="shared" si="120"/>
        <v>Funcionário</v>
      </c>
    </row>
    <row r="1634" spans="1:5">
      <c r="A1634" s="4" t="str">
        <f t="shared" ref="A1634:A1697" si="121">"6"</f>
        <v>6</v>
      </c>
      <c r="B1634" s="4" t="str">
        <f>"CLEITON DA SILVA DIAS"</f>
        <v>CLEITON DA SILVA DIAS</v>
      </c>
      <c r="C1634" s="4" t="str">
        <f>"OFICIAL DE PRODUCAO INDUSTRIAL"</f>
        <v>OFICIAL DE PRODUCAO INDUSTRIAL</v>
      </c>
      <c r="D1634" s="5">
        <v>600</v>
      </c>
      <c r="E1634" s="4" t="str">
        <f t="shared" si="120"/>
        <v>Funcionário</v>
      </c>
    </row>
    <row r="1635" spans="1:5">
      <c r="A1635" s="4" t="str">
        <f t="shared" si="121"/>
        <v>6</v>
      </c>
      <c r="B1635" s="4" t="str">
        <f>"CLEONISIO PONCIANO DA SILVA FILHO"</f>
        <v>CLEONISIO PONCIANO DA SILVA FILHO</v>
      </c>
      <c r="C1635" s="4" t="str">
        <f>"MOTORISTA III"</f>
        <v>MOTORISTA III</v>
      </c>
      <c r="D1635" s="5">
        <v>600</v>
      </c>
      <c r="E1635" s="4" t="str">
        <f t="shared" si="120"/>
        <v>Funcionário</v>
      </c>
    </row>
    <row r="1636" spans="1:5">
      <c r="A1636" s="4" t="str">
        <f t="shared" si="121"/>
        <v>6</v>
      </c>
      <c r="B1636" s="4" t="str">
        <f>"CLOVIS DA SILVA"</f>
        <v>CLOVIS DA SILVA</v>
      </c>
      <c r="C1636" s="4" t="str">
        <f>"OFICIAL DE PRODUCAO INDUSTRIAL"</f>
        <v>OFICIAL DE PRODUCAO INDUSTRIAL</v>
      </c>
      <c r="D1636" s="5">
        <v>600</v>
      </c>
      <c r="E1636" s="4" t="str">
        <f>"Aposentado"</f>
        <v>Aposentado</v>
      </c>
    </row>
    <row r="1637" spans="1:5">
      <c r="A1637" s="4" t="str">
        <f t="shared" si="121"/>
        <v>6</v>
      </c>
      <c r="B1637" s="4" t="str">
        <f>"DAMIAO DE SOUZA"</f>
        <v>DAMIAO DE SOUZA</v>
      </c>
      <c r="C1637" s="4" t="str">
        <f>"MECANICO DE AUTOS III"</f>
        <v>MECANICO DE AUTOS III</v>
      </c>
      <c r="D1637" s="5">
        <v>600</v>
      </c>
      <c r="E1637" s="4" t="str">
        <f>"Funcionário"</f>
        <v>Funcionário</v>
      </c>
    </row>
    <row r="1638" spans="1:5">
      <c r="A1638" s="4" t="str">
        <f t="shared" si="121"/>
        <v>6</v>
      </c>
      <c r="B1638" s="4" t="str">
        <f>"DANDARA STERFANI SILVA DE CASTRO"</f>
        <v>DANDARA STERFANI SILVA DE CASTRO</v>
      </c>
      <c r="C1638" s="4" t="str">
        <f>"AUX TECNICO ADMINISTRATIVO"</f>
        <v>AUX TECNICO ADMINISTRATIVO</v>
      </c>
      <c r="D1638" s="5">
        <v>600</v>
      </c>
      <c r="E1638" s="4" t="str">
        <f>"Funcionário"</f>
        <v>Funcionário</v>
      </c>
    </row>
    <row r="1639" spans="1:5">
      <c r="A1639" s="4" t="str">
        <f t="shared" si="121"/>
        <v>6</v>
      </c>
      <c r="B1639" s="4" t="str">
        <f>"DANIELE DA CONCEIÇÃO DUARTE"</f>
        <v>DANIELE DA CONCEIÇÃO DUARTE</v>
      </c>
      <c r="C1639" s="4" t="str">
        <f>"OFICIAL DE PRODUCAO INDUSTRIAL"</f>
        <v>OFICIAL DE PRODUCAO INDUSTRIAL</v>
      </c>
      <c r="D1639" s="5">
        <v>600</v>
      </c>
      <c r="E1639" s="4" t="str">
        <f>"Funcionário"</f>
        <v>Funcionário</v>
      </c>
    </row>
    <row r="1640" spans="1:5">
      <c r="A1640" s="4" t="str">
        <f t="shared" si="121"/>
        <v>6</v>
      </c>
      <c r="B1640" s="4" t="str">
        <f>"DANIELLI MANTOVANI ALEXANDRE"</f>
        <v>DANIELLI MANTOVANI ALEXANDRE</v>
      </c>
      <c r="C1640" s="4" t="str">
        <f>"OFICIAL DE PRODUCAO INDUSTRIAL"</f>
        <v>OFICIAL DE PRODUCAO INDUSTRIAL</v>
      </c>
      <c r="D1640" s="5">
        <v>600</v>
      </c>
      <c r="E1640" s="4" t="str">
        <f>"Funcionário"</f>
        <v>Funcionário</v>
      </c>
    </row>
    <row r="1641" spans="1:5">
      <c r="A1641" s="4" t="str">
        <f t="shared" si="121"/>
        <v>6</v>
      </c>
      <c r="B1641" s="4" t="str">
        <f>"DÉBORA BENTO DA CRUZ SILVA"</f>
        <v>DÉBORA BENTO DA CRUZ SILVA</v>
      </c>
      <c r="C1641" s="4" t="str">
        <f>"APRENDIZ- ADMINISTRATIVO"</f>
        <v>APRENDIZ- ADMINISTRATIVO</v>
      </c>
      <c r="D1641" s="5">
        <v>603</v>
      </c>
      <c r="E1641" s="4" t="str">
        <f>"Aprendiz"</f>
        <v>Aprendiz</v>
      </c>
    </row>
    <row r="1642" spans="1:5">
      <c r="A1642" s="4" t="str">
        <f t="shared" si="121"/>
        <v>6</v>
      </c>
      <c r="B1642" s="4" t="str">
        <f>"DENISON SODRE MOURA"</f>
        <v>DENISON SODRE MOURA</v>
      </c>
      <c r="C1642" s="4" t="str">
        <f>"BOMBEIRO CIVIL"</f>
        <v>BOMBEIRO CIVIL</v>
      </c>
      <c r="D1642" s="5">
        <v>600</v>
      </c>
      <c r="E1642" s="4" t="str">
        <f>"Funcionário"</f>
        <v>Funcionário</v>
      </c>
    </row>
    <row r="1643" spans="1:5">
      <c r="A1643" s="4" t="str">
        <f t="shared" si="121"/>
        <v>6</v>
      </c>
      <c r="B1643" s="4" t="str">
        <f>"DIEGO GONÇALVES DE ARAUJO"</f>
        <v>DIEGO GONÇALVES DE ARAUJO</v>
      </c>
      <c r="C1643" s="4" t="str">
        <f>"TECNICO ADM ESPECIALIZADO"</f>
        <v>TECNICO ADM ESPECIALIZADO</v>
      </c>
      <c r="D1643" s="5">
        <v>600</v>
      </c>
      <c r="E1643" s="4" t="str">
        <f>"Funcionário"</f>
        <v>Funcionário</v>
      </c>
    </row>
    <row r="1644" spans="1:5">
      <c r="A1644" s="4" t="str">
        <f t="shared" si="121"/>
        <v>6</v>
      </c>
      <c r="B1644" s="4" t="str">
        <f>"ECLER MENEZES FILHO"</f>
        <v>ECLER MENEZES FILHO</v>
      </c>
      <c r="C1644" s="4" t="str">
        <f>"OFICIAL DE PRODUCAO INDUSTRIAL"</f>
        <v>OFICIAL DE PRODUCAO INDUSTRIAL</v>
      </c>
      <c r="D1644" s="5">
        <v>600</v>
      </c>
      <c r="E1644" s="4" t="str">
        <f>"Aposentado"</f>
        <v>Aposentado</v>
      </c>
    </row>
    <row r="1645" spans="1:5">
      <c r="A1645" s="4" t="str">
        <f t="shared" si="121"/>
        <v>6</v>
      </c>
      <c r="B1645" s="4" t="str">
        <f>"EDMILSON CARREIRO DA SILVA"</f>
        <v>EDMILSON CARREIRO DA SILVA</v>
      </c>
      <c r="C1645" s="4" t="str">
        <f>"OFICIAL DE PRODUCAO INDUSTRIAL"</f>
        <v>OFICIAL DE PRODUCAO INDUSTRIAL</v>
      </c>
      <c r="D1645" s="5">
        <v>600</v>
      </c>
      <c r="E1645" s="4" t="str">
        <f>"Aposentado"</f>
        <v>Aposentado</v>
      </c>
    </row>
    <row r="1646" spans="1:5">
      <c r="A1646" s="4" t="str">
        <f t="shared" si="121"/>
        <v>6</v>
      </c>
      <c r="B1646" s="4" t="str">
        <f>"EDNEIDE MOREIRA FARIAS DE JESUS"</f>
        <v>EDNEIDE MOREIRA FARIAS DE JESUS</v>
      </c>
      <c r="C1646" s="4" t="str">
        <f>"OFICIAL DE PRODUCAO INDUSTRIAL"</f>
        <v>OFICIAL DE PRODUCAO INDUSTRIAL</v>
      </c>
      <c r="D1646" s="5">
        <v>600</v>
      </c>
      <c r="E1646" s="4" t="str">
        <f>"Aposentado"</f>
        <v>Aposentado</v>
      </c>
    </row>
    <row r="1647" spans="1:5">
      <c r="A1647" s="4" t="str">
        <f t="shared" si="121"/>
        <v>6</v>
      </c>
      <c r="B1647" s="4" t="str">
        <f>"EDUARDO GARCIA SANTOS"</f>
        <v>EDUARDO GARCIA SANTOS</v>
      </c>
      <c r="C1647" s="4" t="str">
        <f>"OFICIAL DE PRODUCAO INDUSTRIAL"</f>
        <v>OFICIAL DE PRODUCAO INDUSTRIAL</v>
      </c>
      <c r="D1647" s="5">
        <v>600</v>
      </c>
      <c r="E1647" s="4" t="str">
        <f>"Funcionário"</f>
        <v>Funcionário</v>
      </c>
    </row>
    <row r="1648" spans="1:5">
      <c r="A1648" s="4" t="str">
        <f t="shared" si="121"/>
        <v>6</v>
      </c>
      <c r="B1648" s="4" t="str">
        <f>"ELIANDRE JOSE BOMGOSTO"</f>
        <v>ELIANDRE JOSE BOMGOSTO</v>
      </c>
      <c r="C1648" s="4" t="str">
        <f>"MILITAR DA ATIVA"</f>
        <v>MILITAR DA ATIVA</v>
      </c>
      <c r="D1648" s="5">
        <v>605</v>
      </c>
      <c r="E1648" s="4" t="str">
        <f>"Funcionário"</f>
        <v>Funcionário</v>
      </c>
    </row>
    <row r="1649" spans="1:5">
      <c r="A1649" s="4" t="str">
        <f t="shared" si="121"/>
        <v>6</v>
      </c>
      <c r="B1649" s="4" t="str">
        <f>"ELIANE GOMES BARBOZA DE SOUZA"</f>
        <v>ELIANE GOMES BARBOZA DE SOUZA</v>
      </c>
      <c r="C1649" s="4" t="str">
        <f>"AUX TECNICO ADMINISTRATIVO"</f>
        <v>AUX TECNICO ADMINISTRATIVO</v>
      </c>
      <c r="D1649" s="5">
        <v>600</v>
      </c>
      <c r="E1649" s="4" t="str">
        <f>"Aposentado"</f>
        <v>Aposentado</v>
      </c>
    </row>
    <row r="1650" spans="1:5">
      <c r="A1650" s="4" t="str">
        <f t="shared" si="121"/>
        <v>6</v>
      </c>
      <c r="B1650" s="4" t="str">
        <f>"ELIEZER DE SOUZA GONÇALVES"</f>
        <v>ELIEZER DE SOUZA GONÇALVES</v>
      </c>
      <c r="C1650" s="4" t="str">
        <f>"MOTORISTA"</f>
        <v>MOTORISTA</v>
      </c>
      <c r="D1650" s="5">
        <v>600</v>
      </c>
      <c r="E1650" s="4" t="str">
        <f t="shared" ref="E1650:E1656" si="122">"Funcionário"</f>
        <v>Funcionário</v>
      </c>
    </row>
    <row r="1651" spans="1:5">
      <c r="A1651" s="4" t="str">
        <f t="shared" si="121"/>
        <v>6</v>
      </c>
      <c r="B1651" s="4" t="str">
        <f>"ELISA DUVAL ARAUJO DE SOUZA"</f>
        <v>ELISA DUVAL ARAUJO DE SOUZA</v>
      </c>
      <c r="C1651" s="4" t="str">
        <f>"TEC INDUSTRIAL ESPECIALIZADO"</f>
        <v>TEC INDUSTRIAL ESPECIALIZADO</v>
      </c>
      <c r="D1651" s="5">
        <v>600</v>
      </c>
      <c r="E1651" s="4" t="str">
        <f t="shared" si="122"/>
        <v>Funcionário</v>
      </c>
    </row>
    <row r="1652" spans="1:5">
      <c r="A1652" s="4" t="str">
        <f t="shared" si="121"/>
        <v>6</v>
      </c>
      <c r="B1652" s="4" t="str">
        <f>"ELISA JACINTO FERNANDES"</f>
        <v>ELISA JACINTO FERNANDES</v>
      </c>
      <c r="C1652" s="4" t="str">
        <f>"ENGENHEIRO"</f>
        <v>ENGENHEIRO</v>
      </c>
      <c r="D1652" s="5">
        <v>600</v>
      </c>
      <c r="E1652" s="4" t="str">
        <f t="shared" si="122"/>
        <v>Funcionário</v>
      </c>
    </row>
    <row r="1653" spans="1:5">
      <c r="A1653" s="4" t="str">
        <f t="shared" si="121"/>
        <v>6</v>
      </c>
      <c r="B1653" s="4" t="str">
        <f>"ELISÂNGELA DE ARAUJO KAWAI DE BARROS"</f>
        <v>ELISÂNGELA DE ARAUJO KAWAI DE BARROS</v>
      </c>
      <c r="C1653" s="4" t="str">
        <f>"TECNICO ADM ESPECIALIZADO"</f>
        <v>TECNICO ADM ESPECIALIZADO</v>
      </c>
      <c r="D1653" s="5">
        <v>600</v>
      </c>
      <c r="E1653" s="4" t="str">
        <f t="shared" si="122"/>
        <v>Funcionário</v>
      </c>
    </row>
    <row r="1654" spans="1:5">
      <c r="A1654" s="4" t="str">
        <f t="shared" si="121"/>
        <v>6</v>
      </c>
      <c r="B1654" s="4" t="str">
        <f>"ELISON GLEID PAULA MACHADO"</f>
        <v>ELISON GLEID PAULA MACHADO</v>
      </c>
      <c r="C1654" s="4" t="str">
        <f>"OFICIAL DE PRODUCAO INDUSTRIAL"</f>
        <v>OFICIAL DE PRODUCAO INDUSTRIAL</v>
      </c>
      <c r="D1654" s="5">
        <v>600</v>
      </c>
      <c r="E1654" s="4" t="str">
        <f t="shared" si="122"/>
        <v>Funcionário</v>
      </c>
    </row>
    <row r="1655" spans="1:5">
      <c r="A1655" s="4" t="str">
        <f t="shared" si="121"/>
        <v>6</v>
      </c>
      <c r="B1655" s="4" t="str">
        <f>"ELON ESTANEQUE DA SILVA"</f>
        <v>ELON ESTANEQUE DA SILVA</v>
      </c>
      <c r="C1655" s="4" t="str">
        <f>"AUXILIAR TECNICO INDUSTRIAL"</f>
        <v>AUXILIAR TECNICO INDUSTRIAL</v>
      </c>
      <c r="D1655" s="5">
        <v>600</v>
      </c>
      <c r="E1655" s="4" t="str">
        <f t="shared" si="122"/>
        <v>Funcionário</v>
      </c>
    </row>
    <row r="1656" spans="1:5">
      <c r="A1656" s="4" t="str">
        <f t="shared" si="121"/>
        <v>6</v>
      </c>
      <c r="B1656" s="4" t="str">
        <f>"ELSON DA SILVA COSTA"</f>
        <v>ELSON DA SILVA COSTA</v>
      </c>
      <c r="C1656" s="4" t="str">
        <f>"AUXILIAR TECNICO INDUSTRIAL"</f>
        <v>AUXILIAR TECNICO INDUSTRIAL</v>
      </c>
      <c r="D1656" s="5">
        <v>600</v>
      </c>
      <c r="E1656" s="4" t="str">
        <f t="shared" si="122"/>
        <v>Funcionário</v>
      </c>
    </row>
    <row r="1657" spans="1:5">
      <c r="A1657" s="4" t="str">
        <f t="shared" si="121"/>
        <v>6</v>
      </c>
      <c r="B1657" s="4" t="str">
        <f>"ENILSO JOSE MOREIRA"</f>
        <v>ENILSO JOSE MOREIRA</v>
      </c>
      <c r="C1657" s="4" t="str">
        <f>"OFICIAL DE PRODUCAO INDUSTRIAL"</f>
        <v>OFICIAL DE PRODUCAO INDUSTRIAL</v>
      </c>
      <c r="D1657" s="5">
        <v>600</v>
      </c>
      <c r="E1657" s="4" t="str">
        <f>"Aposentado"</f>
        <v>Aposentado</v>
      </c>
    </row>
    <row r="1658" spans="1:5">
      <c r="A1658" s="4" t="str">
        <f t="shared" si="121"/>
        <v>6</v>
      </c>
      <c r="B1658" s="4" t="str">
        <f>"ERICK RIBEIRO CEZAR DA SILVA"</f>
        <v>ERICK RIBEIRO CEZAR DA SILVA</v>
      </c>
      <c r="C1658" s="4" t="str">
        <f>"BOMBEIRO CIVIL"</f>
        <v>BOMBEIRO CIVIL</v>
      </c>
      <c r="D1658" s="5">
        <v>600</v>
      </c>
      <c r="E1658" s="4" t="str">
        <f>"Funcionário"</f>
        <v>Funcionário</v>
      </c>
    </row>
    <row r="1659" spans="1:5">
      <c r="A1659" s="4" t="str">
        <f t="shared" si="121"/>
        <v>6</v>
      </c>
      <c r="B1659" s="4" t="str">
        <f>"ERNANDES FARIA DE ALMEIDA JUNIOR"</f>
        <v>ERNANDES FARIA DE ALMEIDA JUNIOR</v>
      </c>
      <c r="C1659" s="4" t="str">
        <f>"OFICIAL DE PRODUCAO INDUSTRIAL"</f>
        <v>OFICIAL DE PRODUCAO INDUSTRIAL</v>
      </c>
      <c r="D1659" s="5">
        <v>600</v>
      </c>
      <c r="E1659" s="4" t="str">
        <f>"Funcionário"</f>
        <v>Funcionário</v>
      </c>
    </row>
    <row r="1660" spans="1:5">
      <c r="A1660" s="4" t="str">
        <f t="shared" si="121"/>
        <v>6</v>
      </c>
      <c r="B1660" s="4" t="str">
        <f>"ESTER REZENDE DA SILVA"</f>
        <v>ESTER REZENDE DA SILVA</v>
      </c>
      <c r="C1660" s="4" t="str">
        <f>"AGENTE DE APOIO OPERACIONAL"</f>
        <v>AGENTE DE APOIO OPERACIONAL</v>
      </c>
      <c r="D1660" s="5">
        <v>600</v>
      </c>
      <c r="E1660" s="4" t="str">
        <f>"Funcionário"</f>
        <v>Funcionário</v>
      </c>
    </row>
    <row r="1661" spans="1:5">
      <c r="A1661" s="4" t="str">
        <f t="shared" si="121"/>
        <v>6</v>
      </c>
      <c r="B1661" s="4" t="str">
        <f>"ESTEVAO SANT ANNA RAMOS"</f>
        <v>ESTEVAO SANT ANNA RAMOS</v>
      </c>
      <c r="C1661" s="4" t="str">
        <f>"ENGENHEIRO"</f>
        <v>ENGENHEIRO</v>
      </c>
      <c r="D1661" s="5">
        <v>600</v>
      </c>
      <c r="E1661" s="4" t="str">
        <f>"Funcionário"</f>
        <v>Funcionário</v>
      </c>
    </row>
    <row r="1662" spans="1:5">
      <c r="A1662" s="4" t="str">
        <f t="shared" si="121"/>
        <v>6</v>
      </c>
      <c r="B1662" s="4" t="str">
        <f>"EVANDRO FRANCISCO CATALDO"</f>
        <v>EVANDRO FRANCISCO CATALDO</v>
      </c>
      <c r="C1662" s="4" t="str">
        <f>"TECNICO ADM ESPECIALIZADO"</f>
        <v>TECNICO ADM ESPECIALIZADO</v>
      </c>
      <c r="D1662" s="5">
        <v>600</v>
      </c>
      <c r="E1662" s="4" t="str">
        <f>"Funcionário"</f>
        <v>Funcionário</v>
      </c>
    </row>
    <row r="1663" spans="1:5">
      <c r="A1663" s="4" t="str">
        <f t="shared" si="121"/>
        <v>6</v>
      </c>
      <c r="B1663" s="4" t="str">
        <f>"EXPEDITO AZEVEDO"</f>
        <v>EXPEDITO AZEVEDO</v>
      </c>
      <c r="C1663" s="4" t="str">
        <f>"OFICIAL DE PRODUCAO INDUSTRIAL"</f>
        <v>OFICIAL DE PRODUCAO INDUSTRIAL</v>
      </c>
      <c r="D1663" s="5">
        <v>600</v>
      </c>
      <c r="E1663" s="4" t="str">
        <f>"Aposentado"</f>
        <v>Aposentado</v>
      </c>
    </row>
    <row r="1664" spans="1:5">
      <c r="A1664" s="4" t="str">
        <f t="shared" si="121"/>
        <v>6</v>
      </c>
      <c r="B1664" s="4" t="str">
        <f>"EXPEDITO FERNANDO DE ANDRADE"</f>
        <v>EXPEDITO FERNANDO DE ANDRADE</v>
      </c>
      <c r="C1664" s="4" t="str">
        <f>"OFICIAL DE PRODUCAO INDUSTRIAL"</f>
        <v>OFICIAL DE PRODUCAO INDUSTRIAL</v>
      </c>
      <c r="D1664" s="5">
        <v>600</v>
      </c>
      <c r="E1664" s="4" t="str">
        <f>"Aposentado"</f>
        <v>Aposentado</v>
      </c>
    </row>
    <row r="1665" spans="1:5">
      <c r="A1665" s="4" t="str">
        <f t="shared" si="121"/>
        <v>6</v>
      </c>
      <c r="B1665" s="4" t="str">
        <f>"FABIO HENRIQUE DOS SANTOS MESSIAS"</f>
        <v>FABIO HENRIQUE DOS SANTOS MESSIAS</v>
      </c>
      <c r="C1665" s="4" t="str">
        <f>"TECNICO SEGURANÇA DO TRABALHO"</f>
        <v>TECNICO SEGURANÇA DO TRABALHO</v>
      </c>
      <c r="D1665" s="5">
        <v>600</v>
      </c>
      <c r="E1665" s="4" t="str">
        <f>"Funcionário"</f>
        <v>Funcionário</v>
      </c>
    </row>
    <row r="1666" spans="1:5">
      <c r="A1666" s="4" t="str">
        <f t="shared" si="121"/>
        <v>6</v>
      </c>
      <c r="B1666" s="4" t="str">
        <f>"FÁBIO SANTANA TEIXEIRA"</f>
        <v>FÁBIO SANTANA TEIXEIRA</v>
      </c>
      <c r="C1666" s="4" t="str">
        <f>"TEC INDUSTRIAL ESPECIALIZADO"</f>
        <v>TEC INDUSTRIAL ESPECIALIZADO</v>
      </c>
      <c r="D1666" s="5">
        <v>600</v>
      </c>
      <c r="E1666" s="4" t="str">
        <f>"Funcionário"</f>
        <v>Funcionário</v>
      </c>
    </row>
    <row r="1667" spans="1:5">
      <c r="A1667" s="4" t="str">
        <f t="shared" si="121"/>
        <v>6</v>
      </c>
      <c r="B1667" s="4" t="str">
        <f>"FELIPE ESPINDOLA BARBOSA"</f>
        <v>FELIPE ESPINDOLA BARBOSA</v>
      </c>
      <c r="C1667" s="4" t="str">
        <f>"ENGENHEIRO"</f>
        <v>ENGENHEIRO</v>
      </c>
      <c r="D1667" s="5">
        <v>600</v>
      </c>
      <c r="E1667" s="4" t="str">
        <f>"Funcionário"</f>
        <v>Funcionário</v>
      </c>
    </row>
    <row r="1668" spans="1:5">
      <c r="A1668" s="4" t="str">
        <f t="shared" si="121"/>
        <v>6</v>
      </c>
      <c r="B1668" s="4" t="str">
        <f>"FELIPE PAIM VASCONCELOS"</f>
        <v>FELIPE PAIM VASCONCELOS</v>
      </c>
      <c r="C1668" s="4" t="str">
        <f>"ENGENHEIRO"</f>
        <v>ENGENHEIRO</v>
      </c>
      <c r="D1668" s="5">
        <v>600</v>
      </c>
      <c r="E1668" s="4" t="str">
        <f>"Funcionário"</f>
        <v>Funcionário</v>
      </c>
    </row>
    <row r="1669" spans="1:5">
      <c r="A1669" s="4" t="str">
        <f t="shared" si="121"/>
        <v>6</v>
      </c>
      <c r="B1669" s="4" t="str">
        <f>"FELIPE RODRIGO DO NASCIMENTO PEREIRA"</f>
        <v>FELIPE RODRIGO DO NASCIMENTO PEREIRA</v>
      </c>
      <c r="C1669" s="4" t="str">
        <f>"ANALISTA ESPECIALIZADO"</f>
        <v>ANALISTA ESPECIALIZADO</v>
      </c>
      <c r="D1669" s="5">
        <v>600</v>
      </c>
      <c r="E1669" s="4" t="str">
        <f>"Funcionário"</f>
        <v>Funcionário</v>
      </c>
    </row>
    <row r="1670" spans="1:5">
      <c r="A1670" s="4" t="str">
        <f t="shared" si="121"/>
        <v>6</v>
      </c>
      <c r="B1670" s="4" t="str">
        <f>"FERNANDO ANTONIO RONCATI"</f>
        <v>FERNANDO ANTONIO RONCATI</v>
      </c>
      <c r="C1670" s="4" t="str">
        <f>"TEC INDUSTRIAL ESPECIALIZADO"</f>
        <v>TEC INDUSTRIAL ESPECIALIZADO</v>
      </c>
      <c r="D1670" s="5">
        <v>600</v>
      </c>
      <c r="E1670" s="4" t="str">
        <f>"Aposentado"</f>
        <v>Aposentado</v>
      </c>
    </row>
    <row r="1671" spans="1:5">
      <c r="A1671" s="4" t="str">
        <f t="shared" si="121"/>
        <v>6</v>
      </c>
      <c r="B1671" s="4" t="str">
        <f>"FERNANDO BARRETO DE CASTRO"</f>
        <v>FERNANDO BARRETO DE CASTRO</v>
      </c>
      <c r="C1671" s="4" t="str">
        <f>"AUXILIAR TECNICO INDUSTRIAL"</f>
        <v>AUXILIAR TECNICO INDUSTRIAL</v>
      </c>
      <c r="D1671" s="5">
        <v>600</v>
      </c>
      <c r="E1671" s="4" t="str">
        <f t="shared" ref="E1671:E1676" si="123">"Funcionário"</f>
        <v>Funcionário</v>
      </c>
    </row>
    <row r="1672" spans="1:5">
      <c r="A1672" s="4" t="str">
        <f t="shared" si="121"/>
        <v>6</v>
      </c>
      <c r="B1672" s="4" t="str">
        <f>"FERNANDO DE MORAES MOREIRA"</f>
        <v>FERNANDO DE MORAES MOREIRA</v>
      </c>
      <c r="C1672" s="4" t="str">
        <f>"TECNICO SEGURANÇA DO TRABALHO"</f>
        <v>TECNICO SEGURANÇA DO TRABALHO</v>
      </c>
      <c r="D1672" s="5">
        <v>600</v>
      </c>
      <c r="E1672" s="4" t="str">
        <f t="shared" si="123"/>
        <v>Funcionário</v>
      </c>
    </row>
    <row r="1673" spans="1:5">
      <c r="A1673" s="4" t="str">
        <f t="shared" si="121"/>
        <v>6</v>
      </c>
      <c r="B1673" s="4" t="str">
        <f>"FERNANDO MOREIRA BITTENCOURT"</f>
        <v>FERNANDO MOREIRA BITTENCOURT</v>
      </c>
      <c r="C1673" s="4" t="str">
        <f>"ESPECIALISTA"</f>
        <v>ESPECIALISTA</v>
      </c>
      <c r="D1673" s="5">
        <v>600</v>
      </c>
      <c r="E1673" s="4" t="str">
        <f t="shared" si="123"/>
        <v>Funcionário</v>
      </c>
    </row>
    <row r="1674" spans="1:5">
      <c r="A1674" s="4" t="str">
        <f t="shared" si="121"/>
        <v>6</v>
      </c>
      <c r="B1674" s="4" t="str">
        <f>"FILIPE LIVIO NUNES LEAL"</f>
        <v>FILIPE LIVIO NUNES LEAL</v>
      </c>
      <c r="C1674" s="4" t="str">
        <f>"ENGENHEIRO"</f>
        <v>ENGENHEIRO</v>
      </c>
      <c r="D1674" s="5">
        <v>600</v>
      </c>
      <c r="E1674" s="4" t="str">
        <f t="shared" si="123"/>
        <v>Funcionário</v>
      </c>
    </row>
    <row r="1675" spans="1:5">
      <c r="A1675" s="4" t="str">
        <f t="shared" si="121"/>
        <v>6</v>
      </c>
      <c r="B1675" s="4" t="str">
        <f>"FILLIPE BARROS DO NASCIMENTO"</f>
        <v>FILLIPE BARROS DO NASCIMENTO</v>
      </c>
      <c r="C1675" s="4" t="str">
        <f>"ANALISTA ESPECIALIZADO"</f>
        <v>ANALISTA ESPECIALIZADO</v>
      </c>
      <c r="D1675" s="5">
        <v>600</v>
      </c>
      <c r="E1675" s="4" t="str">
        <f t="shared" si="123"/>
        <v>Funcionário</v>
      </c>
    </row>
    <row r="1676" spans="1:5">
      <c r="A1676" s="4" t="str">
        <f t="shared" si="121"/>
        <v>6</v>
      </c>
      <c r="B1676" s="4" t="str">
        <f>"FRANCISCO CAMPOS DE LIMA"</f>
        <v>FRANCISCO CAMPOS DE LIMA</v>
      </c>
      <c r="C1676" s="4" t="str">
        <f>"ANALISTA ESPECIALIZADO"</f>
        <v>ANALISTA ESPECIALIZADO</v>
      </c>
      <c r="D1676" s="5">
        <v>600</v>
      </c>
      <c r="E1676" s="4" t="str">
        <f t="shared" si="123"/>
        <v>Funcionário</v>
      </c>
    </row>
    <row r="1677" spans="1:5">
      <c r="A1677" s="4" t="str">
        <f t="shared" si="121"/>
        <v>6</v>
      </c>
      <c r="B1677" s="4" t="str">
        <f>"FRANCISCO CARLOS DE AZEVEDO PEREIRA"</f>
        <v>FRANCISCO CARLOS DE AZEVEDO PEREIRA</v>
      </c>
      <c r="C1677" s="4" t="str">
        <f>"OFICIAL DE PRODUCAO INDUSTRIAL"</f>
        <v>OFICIAL DE PRODUCAO INDUSTRIAL</v>
      </c>
      <c r="D1677" s="5">
        <v>600</v>
      </c>
      <c r="E1677" s="4" t="str">
        <f>"Aposentado"</f>
        <v>Aposentado</v>
      </c>
    </row>
    <row r="1678" spans="1:5">
      <c r="A1678" s="4" t="str">
        <f t="shared" si="121"/>
        <v>6</v>
      </c>
      <c r="B1678" s="4" t="str">
        <f>"FRANCISCO MESSIAS MORAES DE SOUSA"</f>
        <v>FRANCISCO MESSIAS MORAES DE SOUSA</v>
      </c>
      <c r="C1678" s="4" t="str">
        <f>"OFICIAL DE PRODUCAO INDUSTRIAL"</f>
        <v>OFICIAL DE PRODUCAO INDUSTRIAL</v>
      </c>
      <c r="D1678" s="5">
        <v>600</v>
      </c>
      <c r="E1678" s="4" t="str">
        <f t="shared" ref="E1678:E1685" si="124">"Funcionário"</f>
        <v>Funcionário</v>
      </c>
    </row>
    <row r="1679" spans="1:5">
      <c r="A1679" s="4" t="str">
        <f t="shared" si="121"/>
        <v>6</v>
      </c>
      <c r="B1679" s="4" t="str">
        <f>"FRANCISCO ROMULO PEREIRA DE SOUSA JUNIOR"</f>
        <v>FRANCISCO ROMULO PEREIRA DE SOUSA JUNIOR</v>
      </c>
      <c r="C1679" s="4" t="str">
        <f>"ANALISTA ESPECIALIZADO"</f>
        <v>ANALISTA ESPECIALIZADO</v>
      </c>
      <c r="D1679" s="5">
        <v>600</v>
      </c>
      <c r="E1679" s="4" t="str">
        <f t="shared" si="124"/>
        <v>Funcionário</v>
      </c>
    </row>
    <row r="1680" spans="1:5">
      <c r="A1680" s="4" t="str">
        <f t="shared" si="121"/>
        <v>6</v>
      </c>
      <c r="B1680" s="4" t="str">
        <f>"FREDERICO LUIZ DA SILVA FERREIRA"</f>
        <v>FREDERICO LUIZ DA SILVA FERREIRA</v>
      </c>
      <c r="C1680" s="4" t="str">
        <f>"AGENTE DE APOIO OPERACIONAL"</f>
        <v>AGENTE DE APOIO OPERACIONAL</v>
      </c>
      <c r="D1680" s="5">
        <v>600</v>
      </c>
      <c r="E1680" s="4" t="str">
        <f t="shared" si="124"/>
        <v>Funcionário</v>
      </c>
    </row>
    <row r="1681" spans="1:5">
      <c r="A1681" s="4" t="str">
        <f t="shared" si="121"/>
        <v>6</v>
      </c>
      <c r="B1681" s="4" t="str">
        <f>"GABRIEL ALVES CARNEIRO JUNIOR"</f>
        <v>GABRIEL ALVES CARNEIRO JUNIOR</v>
      </c>
      <c r="C1681" s="4" t="str">
        <f>"OFICIAL DE PRODUCAO INDUSTRIAL"</f>
        <v>OFICIAL DE PRODUCAO INDUSTRIAL</v>
      </c>
      <c r="D1681" s="5">
        <v>600</v>
      </c>
      <c r="E1681" s="4" t="str">
        <f t="shared" si="124"/>
        <v>Funcionário</v>
      </c>
    </row>
    <row r="1682" spans="1:5">
      <c r="A1682" s="4" t="str">
        <f t="shared" si="121"/>
        <v>6</v>
      </c>
      <c r="B1682" s="4" t="str">
        <f>"GABRIELA SLOAN DOS SANTOS GUEDES"</f>
        <v>GABRIELA SLOAN DOS SANTOS GUEDES</v>
      </c>
      <c r="C1682" s="4" t="str">
        <f>"ANALISTA ESPECIALIZADO"</f>
        <v>ANALISTA ESPECIALIZADO</v>
      </c>
      <c r="D1682" s="5">
        <v>600</v>
      </c>
      <c r="E1682" s="4" t="str">
        <f t="shared" si="124"/>
        <v>Funcionário</v>
      </c>
    </row>
    <row r="1683" spans="1:5">
      <c r="A1683" s="4" t="str">
        <f t="shared" si="121"/>
        <v>6</v>
      </c>
      <c r="B1683" s="4" t="str">
        <f>"GABRIELA TERNAVISK DE LIMA AZEVEDO"</f>
        <v>GABRIELA TERNAVISK DE LIMA AZEVEDO</v>
      </c>
      <c r="C1683" s="4" t="str">
        <f>"ANALISTA ESPECIALIZADO"</f>
        <v>ANALISTA ESPECIALIZADO</v>
      </c>
      <c r="D1683" s="5">
        <v>600</v>
      </c>
      <c r="E1683" s="4" t="str">
        <f t="shared" si="124"/>
        <v>Funcionário</v>
      </c>
    </row>
    <row r="1684" spans="1:5">
      <c r="A1684" s="4" t="str">
        <f t="shared" si="121"/>
        <v>6</v>
      </c>
      <c r="B1684" s="4" t="str">
        <f>"GENTIL HORACIO DA SILVA"</f>
        <v>GENTIL HORACIO DA SILVA</v>
      </c>
      <c r="C1684" s="4" t="str">
        <f>"OFICIAL DE PRODUCAO INDUSTRIAL"</f>
        <v>OFICIAL DE PRODUCAO INDUSTRIAL</v>
      </c>
      <c r="D1684" s="5">
        <v>600</v>
      </c>
      <c r="E1684" s="4" t="str">
        <f t="shared" si="124"/>
        <v>Funcionário</v>
      </c>
    </row>
    <row r="1685" spans="1:5">
      <c r="A1685" s="4" t="str">
        <f t="shared" si="121"/>
        <v>6</v>
      </c>
      <c r="B1685" s="4" t="str">
        <f>"GERSON HELENO BARBOSA"</f>
        <v>GERSON HELENO BARBOSA</v>
      </c>
      <c r="C1685" s="4" t="str">
        <f>"OFICIAL DE PRODUCAO INDUSTRIAL"</f>
        <v>OFICIAL DE PRODUCAO INDUSTRIAL</v>
      </c>
      <c r="D1685" s="5">
        <v>600</v>
      </c>
      <c r="E1685" s="4" t="str">
        <f t="shared" si="124"/>
        <v>Funcionário</v>
      </c>
    </row>
    <row r="1686" spans="1:5">
      <c r="A1686" s="4" t="str">
        <f t="shared" si="121"/>
        <v>6</v>
      </c>
      <c r="B1686" s="4" t="str">
        <f>"GERSON MOREIRA"</f>
        <v>GERSON MOREIRA</v>
      </c>
      <c r="C1686" s="4" t="str">
        <f>"OFICIAL DE PRODUCAO INDUSTRIAL"</f>
        <v>OFICIAL DE PRODUCAO INDUSTRIAL</v>
      </c>
      <c r="D1686" s="5">
        <v>600</v>
      </c>
      <c r="E1686" s="4" t="str">
        <f>"Aposentado"</f>
        <v>Aposentado</v>
      </c>
    </row>
    <row r="1687" spans="1:5">
      <c r="A1687" s="4" t="str">
        <f t="shared" si="121"/>
        <v>6</v>
      </c>
      <c r="B1687" s="4" t="str">
        <f>"GILMAR DE SOUZA ANGELO"</f>
        <v>GILMAR DE SOUZA ANGELO</v>
      </c>
      <c r="C1687" s="4" t="str">
        <f>"OFICIAL DE PRODUCAO INDUSTRIAL"</f>
        <v>OFICIAL DE PRODUCAO INDUSTRIAL</v>
      </c>
      <c r="D1687" s="5">
        <v>600</v>
      </c>
      <c r="E1687" s="4" t="str">
        <f>"Aposentado"</f>
        <v>Aposentado</v>
      </c>
    </row>
    <row r="1688" spans="1:5">
      <c r="A1688" s="4" t="str">
        <f t="shared" si="121"/>
        <v>6</v>
      </c>
      <c r="B1688" s="4" t="str">
        <f>"GUILHERME SEBASTIÃO ROZA DOS SANTOS"</f>
        <v>GUILHERME SEBASTIÃO ROZA DOS SANTOS</v>
      </c>
      <c r="C1688" s="4" t="str">
        <f>"OFICIAL DE PRODUCAO INDUSTRIAL"</f>
        <v>OFICIAL DE PRODUCAO INDUSTRIAL</v>
      </c>
      <c r="D1688" s="5">
        <v>600</v>
      </c>
      <c r="E1688" s="4" t="str">
        <f>"Funcionário"</f>
        <v>Funcionário</v>
      </c>
    </row>
    <row r="1689" spans="1:5">
      <c r="A1689" s="4" t="str">
        <f t="shared" si="121"/>
        <v>6</v>
      </c>
      <c r="B1689" s="4" t="str">
        <f>"HAROLDO CARLOS COSTA DOS SANTOS"</f>
        <v>HAROLDO CARLOS COSTA DOS SANTOS</v>
      </c>
      <c r="C1689" s="4" t="str">
        <f>"ESPECIALISTA"</f>
        <v>ESPECIALISTA</v>
      </c>
      <c r="D1689" s="5">
        <v>600</v>
      </c>
      <c r="E1689" s="4" t="str">
        <f>"Aposentado"</f>
        <v>Aposentado</v>
      </c>
    </row>
    <row r="1690" spans="1:5">
      <c r="A1690" s="4" t="str">
        <f t="shared" si="121"/>
        <v>6</v>
      </c>
      <c r="B1690" s="4" t="str">
        <f>"HELOÍSA DA COSTA FARIAS DE BARROS"</f>
        <v>HELOÍSA DA COSTA FARIAS DE BARROS</v>
      </c>
      <c r="C1690" s="4" t="str">
        <f>"OFICIAL DE PRODUCAO INDUSTRIAL"</f>
        <v>OFICIAL DE PRODUCAO INDUSTRIAL</v>
      </c>
      <c r="D1690" s="5">
        <v>600</v>
      </c>
      <c r="E1690" s="4" t="str">
        <f>"Funcionário"</f>
        <v>Funcionário</v>
      </c>
    </row>
    <row r="1691" spans="1:5">
      <c r="A1691" s="4" t="str">
        <f t="shared" si="121"/>
        <v>6</v>
      </c>
      <c r="B1691" s="4" t="str">
        <f>"HERMINIO DE OLIVEIRA MOURA"</f>
        <v>HERMINIO DE OLIVEIRA MOURA</v>
      </c>
      <c r="C1691" s="4" t="str">
        <f>"OFICIAL DE PRODUCAO INDUSTRIAL"</f>
        <v>OFICIAL DE PRODUCAO INDUSTRIAL</v>
      </c>
      <c r="D1691" s="5">
        <v>600</v>
      </c>
      <c r="E1691" s="4" t="str">
        <f>"Aposentado"</f>
        <v>Aposentado</v>
      </c>
    </row>
    <row r="1692" spans="1:5">
      <c r="A1692" s="4" t="str">
        <f t="shared" si="121"/>
        <v>6</v>
      </c>
      <c r="B1692" s="4" t="str">
        <f>"HOSMÉRIO ANGELO FILHO"</f>
        <v>HOSMÉRIO ANGELO FILHO</v>
      </c>
      <c r="C1692" s="4" t="str">
        <f>"MOTORISTA MOP"</f>
        <v>MOTORISTA MOP</v>
      </c>
      <c r="D1692" s="5">
        <v>600</v>
      </c>
      <c r="E1692" s="4" t="str">
        <f>"Funcionário"</f>
        <v>Funcionário</v>
      </c>
    </row>
    <row r="1693" spans="1:5">
      <c r="A1693" s="4" t="str">
        <f t="shared" si="121"/>
        <v>6</v>
      </c>
      <c r="B1693" s="4" t="str">
        <f>"IGOR DE SOUSA NUNES DE MATOS"</f>
        <v>IGOR DE SOUSA NUNES DE MATOS</v>
      </c>
      <c r="C1693" s="4" t="str">
        <f>"ADVOGADO"</f>
        <v>ADVOGADO</v>
      </c>
      <c r="D1693" s="5">
        <v>604</v>
      </c>
      <c r="E1693" s="4" t="str">
        <f>"Funcionário"</f>
        <v>Funcionário</v>
      </c>
    </row>
    <row r="1694" spans="1:5">
      <c r="A1694" s="4" t="str">
        <f t="shared" si="121"/>
        <v>6</v>
      </c>
      <c r="B1694" s="4" t="str">
        <f>"IGOR RAMALHO DA COSTA"</f>
        <v>IGOR RAMALHO DA COSTA</v>
      </c>
      <c r="C1694" s="4" t="str">
        <f>"OFICIAL DE PRODUCAO INDUSTRIAL"</f>
        <v>OFICIAL DE PRODUCAO INDUSTRIAL</v>
      </c>
      <c r="D1694" s="5">
        <v>600</v>
      </c>
      <c r="E1694" s="4" t="str">
        <f>"Funcionário"</f>
        <v>Funcionário</v>
      </c>
    </row>
    <row r="1695" spans="1:5">
      <c r="A1695" s="4" t="str">
        <f t="shared" si="121"/>
        <v>6</v>
      </c>
      <c r="B1695" s="4" t="str">
        <f>"IHOMAR TADEU GONCALVES"</f>
        <v>IHOMAR TADEU GONCALVES</v>
      </c>
      <c r="C1695" s="4" t="str">
        <f>"AUXILIAR TECNICO INDUSTRIAL"</f>
        <v>AUXILIAR TECNICO INDUSTRIAL</v>
      </c>
      <c r="D1695" s="5">
        <v>600</v>
      </c>
      <c r="E1695" s="4" t="str">
        <f>"Aposentado"</f>
        <v>Aposentado</v>
      </c>
    </row>
    <row r="1696" spans="1:5">
      <c r="A1696" s="4" t="str">
        <f t="shared" si="121"/>
        <v>6</v>
      </c>
      <c r="B1696" s="4" t="str">
        <f>"INES FIGUEIREDO DA CRUZ"</f>
        <v>INES FIGUEIREDO DA CRUZ</v>
      </c>
      <c r="C1696" s="4" t="str">
        <f>"OFICIAL DE PRODUCAO INDUSTRIAL"</f>
        <v>OFICIAL DE PRODUCAO INDUSTRIAL</v>
      </c>
      <c r="D1696" s="5">
        <v>600</v>
      </c>
      <c r="E1696" s="4" t="str">
        <f>"Funcionário"</f>
        <v>Funcionário</v>
      </c>
    </row>
    <row r="1697" spans="1:5">
      <c r="A1697" s="4" t="str">
        <f t="shared" si="121"/>
        <v>6</v>
      </c>
      <c r="B1697" s="4" t="str">
        <f>"IVAN RODRIGUES DA SILVA JUNIOR"</f>
        <v>IVAN RODRIGUES DA SILVA JUNIOR</v>
      </c>
      <c r="C1697" s="4" t="str">
        <f>"MILITAR DA ATIVA"</f>
        <v>MILITAR DA ATIVA</v>
      </c>
      <c r="D1697" s="5">
        <v>605</v>
      </c>
      <c r="E1697" s="4" t="str">
        <f>"Funcionário"</f>
        <v>Funcionário</v>
      </c>
    </row>
    <row r="1698" spans="1:5">
      <c r="A1698" s="4" t="str">
        <f t="shared" ref="A1698:A1761" si="125">"6"</f>
        <v>6</v>
      </c>
      <c r="B1698" s="4" t="str">
        <f>"IVANA DE FATIMA BAPTISTA"</f>
        <v>IVANA DE FATIMA BAPTISTA</v>
      </c>
      <c r="C1698" s="4" t="str">
        <f>"TEC INDUSTRIAL ESPECIALIZADO"</f>
        <v>TEC INDUSTRIAL ESPECIALIZADO</v>
      </c>
      <c r="D1698" s="5">
        <v>600</v>
      </c>
      <c r="E1698" s="4" t="str">
        <f>"Aposentado"</f>
        <v>Aposentado</v>
      </c>
    </row>
    <row r="1699" spans="1:5">
      <c r="A1699" s="4" t="str">
        <f t="shared" si="125"/>
        <v>6</v>
      </c>
      <c r="B1699" s="4" t="str">
        <f>"IVANALDO CESARIO GOMES"</f>
        <v>IVANALDO CESARIO GOMES</v>
      </c>
      <c r="C1699" s="4" t="str">
        <f>"OFICIAL DE PRODUCAO INDUSTRIAL"</f>
        <v>OFICIAL DE PRODUCAO INDUSTRIAL</v>
      </c>
      <c r="D1699" s="5">
        <v>600</v>
      </c>
      <c r="E1699" s="4" t="str">
        <f>"Aposentado"</f>
        <v>Aposentado</v>
      </c>
    </row>
    <row r="1700" spans="1:5">
      <c r="A1700" s="4" t="str">
        <f t="shared" si="125"/>
        <v>6</v>
      </c>
      <c r="B1700" s="4" t="str">
        <f>"JANE JOSE DA SILVA"</f>
        <v>JANE JOSE DA SILVA</v>
      </c>
      <c r="C1700" s="4" t="str">
        <f>"AUX TECNICO ADMINISTRATIVO"</f>
        <v>AUX TECNICO ADMINISTRATIVO</v>
      </c>
      <c r="D1700" s="5">
        <v>600</v>
      </c>
      <c r="E1700" s="4" t="str">
        <f>"Aposentado"</f>
        <v>Aposentado</v>
      </c>
    </row>
    <row r="1701" spans="1:5">
      <c r="A1701" s="4" t="str">
        <f t="shared" si="125"/>
        <v>6</v>
      </c>
      <c r="B1701" s="4" t="str">
        <f>"JAQUELINE DA SILVA DE QUEIROZ"</f>
        <v>JAQUELINE DA SILVA DE QUEIROZ</v>
      </c>
      <c r="C1701" s="4" t="str">
        <f>"TECNICO ADM ESPECIALIZADO"</f>
        <v>TECNICO ADM ESPECIALIZADO</v>
      </c>
      <c r="D1701" s="5">
        <v>600</v>
      </c>
      <c r="E1701" s="4" t="str">
        <f>"Funcionário"</f>
        <v>Funcionário</v>
      </c>
    </row>
    <row r="1702" spans="1:5">
      <c r="A1702" s="4" t="str">
        <f t="shared" si="125"/>
        <v>6</v>
      </c>
      <c r="B1702" s="4" t="str">
        <f>"JEFFERSON DA SILVA MIGUEL"</f>
        <v>JEFFERSON DA SILVA MIGUEL</v>
      </c>
      <c r="C1702" s="4" t="str">
        <f>"OFICIAL DE PRODUCAO INDUSTRIAL"</f>
        <v>OFICIAL DE PRODUCAO INDUSTRIAL</v>
      </c>
      <c r="D1702" s="5">
        <v>600</v>
      </c>
      <c r="E1702" s="4" t="str">
        <f>"Funcionário"</f>
        <v>Funcionário</v>
      </c>
    </row>
    <row r="1703" spans="1:5">
      <c r="A1703" s="4" t="str">
        <f t="shared" si="125"/>
        <v>6</v>
      </c>
      <c r="B1703" s="4" t="str">
        <f>"JEFFERSON LEANDRO RAMOS"</f>
        <v>JEFFERSON LEANDRO RAMOS</v>
      </c>
      <c r="C1703" s="4" t="str">
        <f>"OFICIAL DE PRODUCAO INDUSTRIAL"</f>
        <v>OFICIAL DE PRODUCAO INDUSTRIAL</v>
      </c>
      <c r="D1703" s="5">
        <v>600</v>
      </c>
      <c r="E1703" s="4" t="str">
        <f>"Aposentado"</f>
        <v>Aposentado</v>
      </c>
    </row>
    <row r="1704" spans="1:5">
      <c r="A1704" s="4" t="str">
        <f t="shared" si="125"/>
        <v>6</v>
      </c>
      <c r="B1704" s="4" t="str">
        <f>"JESSICA PINHEIRO DA SILVA"</f>
        <v>JESSICA PINHEIRO DA SILVA</v>
      </c>
      <c r="C1704" s="4" t="str">
        <f>"TECNICO ADM ESPECIALIZADO"</f>
        <v>TECNICO ADM ESPECIALIZADO</v>
      </c>
      <c r="D1704" s="5">
        <v>600</v>
      </c>
      <c r="E1704" s="4" t="str">
        <f>"Funcionário"</f>
        <v>Funcionário</v>
      </c>
    </row>
    <row r="1705" spans="1:5">
      <c r="A1705" s="4" t="str">
        <f t="shared" si="125"/>
        <v>6</v>
      </c>
      <c r="B1705" s="4" t="str">
        <f>"JÉSSICA SILVA DE MENEZES"</f>
        <v>JÉSSICA SILVA DE MENEZES</v>
      </c>
      <c r="C1705" s="4" t="str">
        <f>"TECNICO SEGURANÇA DO TRABALHO"</f>
        <v>TECNICO SEGURANÇA DO TRABALHO</v>
      </c>
      <c r="D1705" s="5">
        <v>600</v>
      </c>
      <c r="E1705" s="4" t="str">
        <f>"Funcionário"</f>
        <v>Funcionário</v>
      </c>
    </row>
    <row r="1706" spans="1:5">
      <c r="A1706" s="4" t="str">
        <f t="shared" si="125"/>
        <v>6</v>
      </c>
      <c r="B1706" s="4" t="str">
        <f>"JHENISSON LUIZ DUTRA DA SILVA"</f>
        <v>JHENISSON LUIZ DUTRA DA SILVA</v>
      </c>
      <c r="C1706" s="4" t="str">
        <f>"APRENDIZ- ADMINISTRATIVO"</f>
        <v>APRENDIZ- ADMINISTRATIVO</v>
      </c>
      <c r="D1706" s="5">
        <v>603</v>
      </c>
      <c r="E1706" s="4" t="str">
        <f>"Aprendiz"</f>
        <v>Aprendiz</v>
      </c>
    </row>
    <row r="1707" spans="1:5">
      <c r="A1707" s="4" t="str">
        <f t="shared" si="125"/>
        <v>6</v>
      </c>
      <c r="B1707" s="4" t="str">
        <f>"JOÃO WESLEY DA SILVA"</f>
        <v>JOÃO WESLEY DA SILVA</v>
      </c>
      <c r="C1707" s="4" t="str">
        <f>"TEC INDUSTRIAL ESPECIALIZADO"</f>
        <v>TEC INDUSTRIAL ESPECIALIZADO</v>
      </c>
      <c r="D1707" s="5">
        <v>600</v>
      </c>
      <c r="E1707" s="4" t="str">
        <f>"Funcionário"</f>
        <v>Funcionário</v>
      </c>
    </row>
    <row r="1708" spans="1:5">
      <c r="A1708" s="4" t="str">
        <f t="shared" si="125"/>
        <v>6</v>
      </c>
      <c r="B1708" s="4" t="str">
        <f>"JONATHAS AZEVEDO DA FONSECA"</f>
        <v>JONATHAS AZEVEDO DA FONSECA</v>
      </c>
      <c r="C1708" s="4" t="str">
        <f>"AUX TECNICO ADMINISTRATIVO"</f>
        <v>AUX TECNICO ADMINISTRATIVO</v>
      </c>
      <c r="D1708" s="5">
        <v>600</v>
      </c>
      <c r="E1708" s="4" t="str">
        <f>"Funcionário"</f>
        <v>Funcionário</v>
      </c>
    </row>
    <row r="1709" spans="1:5">
      <c r="A1709" s="4" t="str">
        <f t="shared" si="125"/>
        <v>6</v>
      </c>
      <c r="B1709" s="4" t="str">
        <f>"JONATHAS MUNIZ BARRADAS"</f>
        <v>JONATHAS MUNIZ BARRADAS</v>
      </c>
      <c r="C1709" s="4" t="str">
        <f>"OFICIAL DE PRODUCAO INDUSTRIAL"</f>
        <v>OFICIAL DE PRODUCAO INDUSTRIAL</v>
      </c>
      <c r="D1709" s="5">
        <v>600</v>
      </c>
      <c r="E1709" s="4" t="str">
        <f>"Funcionário"</f>
        <v>Funcionário</v>
      </c>
    </row>
    <row r="1710" spans="1:5">
      <c r="A1710" s="4" t="str">
        <f t="shared" si="125"/>
        <v>6</v>
      </c>
      <c r="B1710" s="4" t="str">
        <f>"JORGE DA COSTA"</f>
        <v>JORGE DA COSTA</v>
      </c>
      <c r="C1710" s="4" t="str">
        <f>"MECANICO DE MANUTENCAO III"</f>
        <v>MECANICO DE MANUTENCAO III</v>
      </c>
      <c r="D1710" s="5">
        <v>600</v>
      </c>
      <c r="E1710" s="4" t="str">
        <f>"Funcionário"</f>
        <v>Funcionário</v>
      </c>
    </row>
    <row r="1711" spans="1:5">
      <c r="A1711" s="4" t="str">
        <f t="shared" si="125"/>
        <v>6</v>
      </c>
      <c r="B1711" s="4" t="str">
        <f>"JORGE FRANCA"</f>
        <v>JORGE FRANCA</v>
      </c>
      <c r="C1711" s="4" t="str">
        <f>"OFICIAL DE PRODUCAO INDUSTRIAL"</f>
        <v>OFICIAL DE PRODUCAO INDUSTRIAL</v>
      </c>
      <c r="D1711" s="5">
        <v>600</v>
      </c>
      <c r="E1711" s="4" t="str">
        <f>"Aposentado"</f>
        <v>Aposentado</v>
      </c>
    </row>
    <row r="1712" spans="1:5">
      <c r="A1712" s="4" t="str">
        <f t="shared" si="125"/>
        <v>6</v>
      </c>
      <c r="B1712" s="4" t="str">
        <f>"JORGE LUCAS SILVA DA COSTA"</f>
        <v>JORGE LUCAS SILVA DA COSTA</v>
      </c>
      <c r="C1712" s="4" t="str">
        <f>"OFICIAL DE PRODUCAO INDUSTRIAL"</f>
        <v>OFICIAL DE PRODUCAO INDUSTRIAL</v>
      </c>
      <c r="D1712" s="5">
        <v>600</v>
      </c>
      <c r="E1712" s="4" t="str">
        <f>"Funcionário"</f>
        <v>Funcionário</v>
      </c>
    </row>
    <row r="1713" spans="1:5">
      <c r="A1713" s="4" t="str">
        <f t="shared" si="125"/>
        <v>6</v>
      </c>
      <c r="B1713" s="4" t="str">
        <f>"JORGELIANA PEREIRA DA SILVA"</f>
        <v>JORGELIANA PEREIRA DA SILVA</v>
      </c>
      <c r="C1713" s="4" t="str">
        <f>"TECNICO ENFERMAGEM DO TRABALHO"</f>
        <v>TECNICO ENFERMAGEM DO TRABALHO</v>
      </c>
      <c r="D1713" s="5">
        <v>600</v>
      </c>
      <c r="E1713" s="4" t="str">
        <f>"Aposentado"</f>
        <v>Aposentado</v>
      </c>
    </row>
    <row r="1714" spans="1:5">
      <c r="A1714" s="4" t="str">
        <f t="shared" si="125"/>
        <v>6</v>
      </c>
      <c r="B1714" s="4" t="str">
        <f>"JOSE CARLOS  DO NASCIMENTO DA SILVA"</f>
        <v>JOSE CARLOS  DO NASCIMENTO DA SILVA</v>
      </c>
      <c r="C1714" s="4" t="str">
        <f>"OFICIAL DE PRODUCAO INDUSTRIAL"</f>
        <v>OFICIAL DE PRODUCAO INDUSTRIAL</v>
      </c>
      <c r="D1714" s="5">
        <v>600</v>
      </c>
      <c r="E1714" s="4" t="str">
        <f>"Aposentado"</f>
        <v>Aposentado</v>
      </c>
    </row>
    <row r="1715" spans="1:5">
      <c r="A1715" s="4" t="str">
        <f t="shared" si="125"/>
        <v>6</v>
      </c>
      <c r="B1715" s="4" t="str">
        <f>"JOSE DA COSTA FARIAS"</f>
        <v>JOSE DA COSTA FARIAS</v>
      </c>
      <c r="C1715" s="4" t="str">
        <f>"OFICIAL DE PRODUCAO INDUSTRIAL"</f>
        <v>OFICIAL DE PRODUCAO INDUSTRIAL</v>
      </c>
      <c r="D1715" s="5">
        <v>600</v>
      </c>
      <c r="E1715" s="4" t="str">
        <f>"Aposentado"</f>
        <v>Aposentado</v>
      </c>
    </row>
    <row r="1716" spans="1:5">
      <c r="A1716" s="4" t="str">
        <f t="shared" si="125"/>
        <v>6</v>
      </c>
      <c r="B1716" s="4" t="str">
        <f>"JOSE LUIZ BERTHOLY"</f>
        <v>JOSE LUIZ BERTHOLY</v>
      </c>
      <c r="C1716" s="4" t="str">
        <f>"OFICIAL DE PRODUCAO INDUSTRIAL"</f>
        <v>OFICIAL DE PRODUCAO INDUSTRIAL</v>
      </c>
      <c r="D1716" s="5">
        <v>600</v>
      </c>
      <c r="E1716" s="4" t="str">
        <f>"Aposentado"</f>
        <v>Aposentado</v>
      </c>
    </row>
    <row r="1717" spans="1:5">
      <c r="A1717" s="4" t="str">
        <f t="shared" si="125"/>
        <v>6</v>
      </c>
      <c r="B1717" s="4" t="str">
        <f>"JOSE MARIA AMANCIO DE OLIVEIRA"</f>
        <v>JOSE MARIA AMANCIO DE OLIVEIRA</v>
      </c>
      <c r="C1717" s="4" t="str">
        <f>"OFICIAL DE PRODUCAO INDUSTRIAL"</f>
        <v>OFICIAL DE PRODUCAO INDUSTRIAL</v>
      </c>
      <c r="D1717" s="5">
        <v>600</v>
      </c>
      <c r="E1717" s="4" t="str">
        <f>"Funcionário"</f>
        <v>Funcionário</v>
      </c>
    </row>
    <row r="1718" spans="1:5">
      <c r="A1718" s="4" t="str">
        <f t="shared" si="125"/>
        <v>6</v>
      </c>
      <c r="B1718" s="4" t="str">
        <f>"JOSÉ ROBERTO NOGUEIRA JÚNIOR"</f>
        <v>JOSÉ ROBERTO NOGUEIRA JÚNIOR</v>
      </c>
      <c r="C1718" s="4" t="str">
        <f>"AGENTE DE APOIO OPERACIONAL"</f>
        <v>AGENTE DE APOIO OPERACIONAL</v>
      </c>
      <c r="D1718" s="5">
        <v>600</v>
      </c>
      <c r="E1718" s="4" t="str">
        <f>"Funcionário"</f>
        <v>Funcionário</v>
      </c>
    </row>
    <row r="1719" spans="1:5">
      <c r="A1719" s="4" t="str">
        <f t="shared" si="125"/>
        <v>6</v>
      </c>
      <c r="B1719" s="4" t="str">
        <f>"JUAREZ DIAS DA FONSECA JUNIOR"</f>
        <v>JUAREZ DIAS DA FONSECA JUNIOR</v>
      </c>
      <c r="C1719" s="4" t="str">
        <f>"AUXILIAR TECNICO INDUSTRIAL"</f>
        <v>AUXILIAR TECNICO INDUSTRIAL</v>
      </c>
      <c r="D1719" s="5">
        <v>600</v>
      </c>
      <c r="E1719" s="4" t="str">
        <f>"Funcionário"</f>
        <v>Funcionário</v>
      </c>
    </row>
    <row r="1720" spans="1:5">
      <c r="A1720" s="4" t="str">
        <f t="shared" si="125"/>
        <v>6</v>
      </c>
      <c r="B1720" s="4" t="str">
        <f>"JULIA DA SILVA BATISTA DOS SANTOS"</f>
        <v>JULIA DA SILVA BATISTA DOS SANTOS</v>
      </c>
      <c r="C1720" s="4" t="str">
        <f>"APRENDIZ- ADMINISTRATIVO"</f>
        <v>APRENDIZ- ADMINISTRATIVO</v>
      </c>
      <c r="D1720" s="5">
        <v>603</v>
      </c>
      <c r="E1720" s="4" t="str">
        <f>"Aprendiz"</f>
        <v>Aprendiz</v>
      </c>
    </row>
    <row r="1721" spans="1:5">
      <c r="A1721" s="4" t="str">
        <f t="shared" si="125"/>
        <v>6</v>
      </c>
      <c r="B1721" s="4" t="str">
        <f>"JÚLIA VICTÓRIA BARRETO LIONEL"</f>
        <v>JÚLIA VICTÓRIA BARRETO LIONEL</v>
      </c>
      <c r="C1721" s="4" t="str">
        <f>"APRENDIZ- ADMINISTRATIVO"</f>
        <v>APRENDIZ- ADMINISTRATIVO</v>
      </c>
      <c r="D1721" s="5">
        <v>603</v>
      </c>
      <c r="E1721" s="4" t="str">
        <f>"Aprendiz"</f>
        <v>Aprendiz</v>
      </c>
    </row>
    <row r="1722" spans="1:5">
      <c r="A1722" s="4" t="str">
        <f t="shared" si="125"/>
        <v>6</v>
      </c>
      <c r="B1722" s="4" t="str">
        <f>"JULIANA MENDES RIBEIRO COUTINHO"</f>
        <v>JULIANA MENDES RIBEIRO COUTINHO</v>
      </c>
      <c r="C1722" s="4" t="str">
        <f>"AUX TECNICO ADMINISTRATIVO"</f>
        <v>AUX TECNICO ADMINISTRATIVO</v>
      </c>
      <c r="D1722" s="5">
        <v>600</v>
      </c>
      <c r="E1722" s="4" t="str">
        <f t="shared" ref="E1722:E1730" si="126">"Funcionário"</f>
        <v>Funcionário</v>
      </c>
    </row>
    <row r="1723" spans="1:5">
      <c r="A1723" s="4" t="str">
        <f t="shared" si="125"/>
        <v>6</v>
      </c>
      <c r="B1723" s="4" t="str">
        <f>"JURANDIR AGUIAR DE SOUZA"</f>
        <v>JURANDIR AGUIAR DE SOUZA</v>
      </c>
      <c r="C1723" s="4" t="str">
        <f>"OPER PRODUCAO III"</f>
        <v>OPER PRODUCAO III</v>
      </c>
      <c r="D1723" s="5">
        <v>600</v>
      </c>
      <c r="E1723" s="4" t="str">
        <f t="shared" si="126"/>
        <v>Funcionário</v>
      </c>
    </row>
    <row r="1724" spans="1:5">
      <c r="A1724" s="4" t="str">
        <f t="shared" si="125"/>
        <v>6</v>
      </c>
      <c r="B1724" s="4" t="str">
        <f>"KATIA BASTOS PEREIRA PEDROSA"</f>
        <v>KATIA BASTOS PEREIRA PEDROSA</v>
      </c>
      <c r="C1724" s="4" t="str">
        <f>"OFICIAL DE PRODUCAO INDUSTRIAL"</f>
        <v>OFICIAL DE PRODUCAO INDUSTRIAL</v>
      </c>
      <c r="D1724" s="5">
        <v>600</v>
      </c>
      <c r="E1724" s="4" t="str">
        <f t="shared" si="126"/>
        <v>Funcionário</v>
      </c>
    </row>
    <row r="1725" spans="1:5">
      <c r="A1725" s="4" t="str">
        <f t="shared" si="125"/>
        <v>6</v>
      </c>
      <c r="B1725" s="4" t="str">
        <f>"KERCIANO AMANCIO NUNES"</f>
        <v>KERCIANO AMANCIO NUNES</v>
      </c>
      <c r="C1725" s="4" t="str">
        <f>"AUXILIAR TECNICO INDUSTRIAL"</f>
        <v>AUXILIAR TECNICO INDUSTRIAL</v>
      </c>
      <c r="D1725" s="5">
        <v>600</v>
      </c>
      <c r="E1725" s="4" t="str">
        <f t="shared" si="126"/>
        <v>Funcionário</v>
      </c>
    </row>
    <row r="1726" spans="1:5">
      <c r="A1726" s="4" t="str">
        <f t="shared" si="125"/>
        <v>6</v>
      </c>
      <c r="B1726" s="4" t="str">
        <f>"LEANDRO FARIAS DE OLIVEIRA"</f>
        <v>LEANDRO FARIAS DE OLIVEIRA</v>
      </c>
      <c r="C1726" s="4" t="str">
        <f>"AGENTE DE APOIO OPERACIONAL"</f>
        <v>AGENTE DE APOIO OPERACIONAL</v>
      </c>
      <c r="D1726" s="5">
        <v>600</v>
      </c>
      <c r="E1726" s="4" t="str">
        <f t="shared" si="126"/>
        <v>Funcionário</v>
      </c>
    </row>
    <row r="1727" spans="1:5">
      <c r="A1727" s="4" t="str">
        <f t="shared" si="125"/>
        <v>6</v>
      </c>
      <c r="B1727" s="4" t="str">
        <f>"LEANDRO GOMES DOS SANTOS"</f>
        <v>LEANDRO GOMES DOS SANTOS</v>
      </c>
      <c r="C1727" s="4" t="str">
        <f>"AGENTE DE APOIO OPERACIONAL"</f>
        <v>AGENTE DE APOIO OPERACIONAL</v>
      </c>
      <c r="D1727" s="5">
        <v>600</v>
      </c>
      <c r="E1727" s="4" t="str">
        <f t="shared" si="126"/>
        <v>Funcionário</v>
      </c>
    </row>
    <row r="1728" spans="1:5">
      <c r="A1728" s="4" t="str">
        <f t="shared" si="125"/>
        <v>6</v>
      </c>
      <c r="B1728" s="4" t="str">
        <f>"LEANDRO VENANCIO DOS SANTOS"</f>
        <v>LEANDRO VENANCIO DOS SANTOS</v>
      </c>
      <c r="C1728" s="4" t="str">
        <f>"BOMBEIRO CIVIL"</f>
        <v>BOMBEIRO CIVIL</v>
      </c>
      <c r="D1728" s="5">
        <v>600</v>
      </c>
      <c r="E1728" s="4" t="str">
        <f t="shared" si="126"/>
        <v>Funcionário</v>
      </c>
    </row>
    <row r="1729" spans="1:5">
      <c r="A1729" s="4" t="str">
        <f t="shared" si="125"/>
        <v>6</v>
      </c>
      <c r="B1729" s="4" t="str">
        <f>"LEANDRO VERDAM DE ANCHIETA"</f>
        <v>LEANDRO VERDAM DE ANCHIETA</v>
      </c>
      <c r="C1729" s="4" t="str">
        <f>"AGENTE DE APOIO OPERACIONAL"</f>
        <v>AGENTE DE APOIO OPERACIONAL</v>
      </c>
      <c r="D1729" s="5">
        <v>600</v>
      </c>
      <c r="E1729" s="4" t="str">
        <f t="shared" si="126"/>
        <v>Funcionário</v>
      </c>
    </row>
    <row r="1730" spans="1:5">
      <c r="A1730" s="4" t="str">
        <f t="shared" si="125"/>
        <v>6</v>
      </c>
      <c r="B1730" s="4" t="str">
        <f>"LEILA FERREIRA DOS SANTOS OLIVEIRA"</f>
        <v>LEILA FERREIRA DOS SANTOS OLIVEIRA</v>
      </c>
      <c r="C1730" s="4" t="str">
        <f>"AGENTE DE APOIO OPERACIONAL"</f>
        <v>AGENTE DE APOIO OPERACIONAL</v>
      </c>
      <c r="D1730" s="5">
        <v>600</v>
      </c>
      <c r="E1730" s="4" t="str">
        <f t="shared" si="126"/>
        <v>Funcionário</v>
      </c>
    </row>
    <row r="1731" spans="1:5">
      <c r="A1731" s="4" t="str">
        <f t="shared" si="125"/>
        <v>6</v>
      </c>
      <c r="B1731" s="4" t="str">
        <f>"LETICIA AIDA DA SILVA DE QUEIROZ"</f>
        <v>LETICIA AIDA DA SILVA DE QUEIROZ</v>
      </c>
      <c r="C1731" s="4" t="str">
        <f>"AUX TECNICO ADMINISTRATIVO"</f>
        <v>AUX TECNICO ADMINISTRATIVO</v>
      </c>
      <c r="D1731" s="5">
        <v>600</v>
      </c>
      <c r="E1731" s="4" t="str">
        <f>"Aposentado"</f>
        <v>Aposentado</v>
      </c>
    </row>
    <row r="1732" spans="1:5">
      <c r="A1732" s="4" t="str">
        <f t="shared" si="125"/>
        <v>6</v>
      </c>
      <c r="B1732" s="4" t="str">
        <f>"LETICIA AZEREDO DE CASTRO"</f>
        <v>LETICIA AZEREDO DE CASTRO</v>
      </c>
      <c r="C1732" s="4" t="str">
        <f>"OFICIAL DE PRODUCAO INDUSTRIAL"</f>
        <v>OFICIAL DE PRODUCAO INDUSTRIAL</v>
      </c>
      <c r="D1732" s="5">
        <v>600</v>
      </c>
      <c r="E1732" s="4" t="str">
        <f>"Funcionário"</f>
        <v>Funcionário</v>
      </c>
    </row>
    <row r="1733" spans="1:5">
      <c r="A1733" s="4" t="str">
        <f t="shared" si="125"/>
        <v>6</v>
      </c>
      <c r="B1733" s="4" t="str">
        <f>"LIDIA SAMPAIO DA SILVA"</f>
        <v>LIDIA SAMPAIO DA SILVA</v>
      </c>
      <c r="C1733" s="4" t="str">
        <f>"OFICIAL DE PRODUCAO INDUSTRIAL"</f>
        <v>OFICIAL DE PRODUCAO INDUSTRIAL</v>
      </c>
      <c r="D1733" s="5">
        <v>600</v>
      </c>
      <c r="E1733" s="4" t="str">
        <f>"Funcionário"</f>
        <v>Funcionário</v>
      </c>
    </row>
    <row r="1734" spans="1:5">
      <c r="A1734" s="4" t="str">
        <f t="shared" si="125"/>
        <v>6</v>
      </c>
      <c r="B1734" s="4" t="str">
        <f>"LIDUINA LOPES DE SOUZA"</f>
        <v>LIDUINA LOPES DE SOUZA</v>
      </c>
      <c r="C1734" s="4" t="str">
        <f>"OFICIAL DE PRODUCAO INDUSTRIAL"</f>
        <v>OFICIAL DE PRODUCAO INDUSTRIAL</v>
      </c>
      <c r="D1734" s="5">
        <v>600</v>
      </c>
      <c r="E1734" s="4" t="str">
        <f>"Funcionário"</f>
        <v>Funcionário</v>
      </c>
    </row>
    <row r="1735" spans="1:5">
      <c r="A1735" s="4" t="str">
        <f t="shared" si="125"/>
        <v>6</v>
      </c>
      <c r="B1735" s="4" t="str">
        <f>"LOIZE MULLER SILVA FERREIRA"</f>
        <v>LOIZE MULLER SILVA FERREIRA</v>
      </c>
      <c r="C1735" s="4" t="str">
        <f>"TECNICO ENFERMAGEM DO TRABALHO"</f>
        <v>TECNICO ENFERMAGEM DO TRABALHO</v>
      </c>
      <c r="D1735" s="5">
        <v>600</v>
      </c>
      <c r="E1735" s="4" t="str">
        <f>"Funcionário"</f>
        <v>Funcionário</v>
      </c>
    </row>
    <row r="1736" spans="1:5">
      <c r="A1736" s="4" t="str">
        <f t="shared" si="125"/>
        <v>6</v>
      </c>
      <c r="B1736" s="4" t="str">
        <f>"LOURIVAL DUARTE RODRIGUES"</f>
        <v>LOURIVAL DUARTE RODRIGUES</v>
      </c>
      <c r="C1736" s="4" t="str">
        <f>"AUXILIAR TECNICO INDUSTRIAL"</f>
        <v>AUXILIAR TECNICO INDUSTRIAL</v>
      </c>
      <c r="D1736" s="5">
        <v>600</v>
      </c>
      <c r="E1736" s="4" t="str">
        <f>"Aposentado"</f>
        <v>Aposentado</v>
      </c>
    </row>
    <row r="1737" spans="1:5">
      <c r="A1737" s="4" t="str">
        <f t="shared" si="125"/>
        <v>6</v>
      </c>
      <c r="B1737" s="4" t="str">
        <f>"LUCAS ELEOTERIO DE JESUS"</f>
        <v>LUCAS ELEOTERIO DE JESUS</v>
      </c>
      <c r="C1737" s="4" t="str">
        <f>"TECNICO ADM ESPECIALIZADO"</f>
        <v>TECNICO ADM ESPECIALIZADO</v>
      </c>
      <c r="D1737" s="5">
        <v>600</v>
      </c>
      <c r="E1737" s="4" t="str">
        <f t="shared" ref="E1737:E1744" si="127">"Funcionário"</f>
        <v>Funcionário</v>
      </c>
    </row>
    <row r="1738" spans="1:5">
      <c r="A1738" s="4" t="str">
        <f t="shared" si="125"/>
        <v>6</v>
      </c>
      <c r="B1738" s="4" t="str">
        <f>"LUCIA HELENA CORREIA CAMPOS"</f>
        <v>LUCIA HELENA CORREIA CAMPOS</v>
      </c>
      <c r="C1738" s="4" t="str">
        <f>"OPER PRODUCAO III"</f>
        <v>OPER PRODUCAO III</v>
      </c>
      <c r="D1738" s="5">
        <v>600</v>
      </c>
      <c r="E1738" s="4" t="str">
        <f t="shared" si="127"/>
        <v>Funcionário</v>
      </c>
    </row>
    <row r="1739" spans="1:5">
      <c r="A1739" s="4" t="str">
        <f t="shared" si="125"/>
        <v>6</v>
      </c>
      <c r="B1739" s="4" t="str">
        <f>"LUCIANA RODRIGUES DA SILVA"</f>
        <v>LUCIANA RODRIGUES DA SILVA</v>
      </c>
      <c r="C1739" s="4" t="str">
        <f>"AGENTE DE APOIO OPERACIONAL"</f>
        <v>AGENTE DE APOIO OPERACIONAL</v>
      </c>
      <c r="D1739" s="5">
        <v>600</v>
      </c>
      <c r="E1739" s="4" t="str">
        <f t="shared" si="127"/>
        <v>Funcionário</v>
      </c>
    </row>
    <row r="1740" spans="1:5">
      <c r="A1740" s="4" t="str">
        <f t="shared" si="125"/>
        <v>6</v>
      </c>
      <c r="B1740" s="4" t="str">
        <f>"LUCIANA STUMPF HABIB DE ARAGÃO"</f>
        <v>LUCIANA STUMPF HABIB DE ARAGÃO</v>
      </c>
      <c r="C1740" s="4" t="str">
        <f>"TECNICO ADM ESPECIALIZADO"</f>
        <v>TECNICO ADM ESPECIALIZADO</v>
      </c>
      <c r="D1740" s="5">
        <v>600</v>
      </c>
      <c r="E1740" s="4" t="str">
        <f t="shared" si="127"/>
        <v>Funcionário</v>
      </c>
    </row>
    <row r="1741" spans="1:5">
      <c r="A1741" s="4" t="str">
        <f t="shared" si="125"/>
        <v>6</v>
      </c>
      <c r="B1741" s="4" t="str">
        <f>"LUCIANO ASSUNÇÃO DE SOUZA"</f>
        <v>LUCIANO ASSUNÇÃO DE SOUZA</v>
      </c>
      <c r="C1741" s="4" t="str">
        <f>"AUXILIAR TECNICO INDUSTRIAL"</f>
        <v>AUXILIAR TECNICO INDUSTRIAL</v>
      </c>
      <c r="D1741" s="5">
        <v>600</v>
      </c>
      <c r="E1741" s="4" t="str">
        <f t="shared" si="127"/>
        <v>Funcionário</v>
      </c>
    </row>
    <row r="1742" spans="1:5">
      <c r="A1742" s="4" t="str">
        <f t="shared" si="125"/>
        <v>6</v>
      </c>
      <c r="B1742" s="4" t="str">
        <f>"LUCIANO FERREIRA MARCELINO"</f>
        <v>LUCIANO FERREIRA MARCELINO</v>
      </c>
      <c r="C1742" s="4" t="str">
        <f>"AUXILIAR TECNICO INDUSTRIAL"</f>
        <v>AUXILIAR TECNICO INDUSTRIAL</v>
      </c>
      <c r="D1742" s="5">
        <v>600</v>
      </c>
      <c r="E1742" s="4" t="str">
        <f t="shared" si="127"/>
        <v>Funcionário</v>
      </c>
    </row>
    <row r="1743" spans="1:5">
      <c r="A1743" s="4" t="str">
        <f t="shared" si="125"/>
        <v>6</v>
      </c>
      <c r="B1743" s="4" t="str">
        <f>"LUIS CARLOS ARAÚJO DA SILVA"</f>
        <v>LUIS CARLOS ARAÚJO DA SILVA</v>
      </c>
      <c r="C1743" s="4" t="str">
        <f>"AUXILIAR TECNICO INDUSTRIAL"</f>
        <v>AUXILIAR TECNICO INDUSTRIAL</v>
      </c>
      <c r="D1743" s="5">
        <v>600</v>
      </c>
      <c r="E1743" s="4" t="str">
        <f t="shared" si="127"/>
        <v>Funcionário</v>
      </c>
    </row>
    <row r="1744" spans="1:5">
      <c r="A1744" s="4" t="str">
        <f t="shared" si="125"/>
        <v>6</v>
      </c>
      <c r="B1744" s="4" t="str">
        <f>"LUÍS FERNANDO VIEIRA DE MELO"</f>
        <v>LUÍS FERNANDO VIEIRA DE MELO</v>
      </c>
      <c r="C1744" s="4" t="str">
        <f>"AGENTE DE APOIO OPERACIONAL"</f>
        <v>AGENTE DE APOIO OPERACIONAL</v>
      </c>
      <c r="D1744" s="5">
        <v>600</v>
      </c>
      <c r="E1744" s="4" t="str">
        <f t="shared" si="127"/>
        <v>Funcionário</v>
      </c>
    </row>
    <row r="1745" spans="1:5">
      <c r="A1745" s="4" t="str">
        <f t="shared" si="125"/>
        <v>6</v>
      </c>
      <c r="B1745" s="4" t="str">
        <f>"LUIZ ALBERTO PEREIRA DA COSTA"</f>
        <v>LUIZ ALBERTO PEREIRA DA COSTA</v>
      </c>
      <c r="C1745" s="4" t="str">
        <f>"OFICIAL DE PRODUCAO INDUSTRIAL"</f>
        <v>OFICIAL DE PRODUCAO INDUSTRIAL</v>
      </c>
      <c r="D1745" s="5">
        <v>600</v>
      </c>
      <c r="E1745" s="4" t="str">
        <f>"Aposentado"</f>
        <v>Aposentado</v>
      </c>
    </row>
    <row r="1746" spans="1:5">
      <c r="A1746" s="4" t="str">
        <f t="shared" si="125"/>
        <v>6</v>
      </c>
      <c r="B1746" s="4" t="str">
        <f>"LUIZ ANTONIO CHAVES DA CONCEICAO"</f>
        <v>LUIZ ANTONIO CHAVES DA CONCEICAO</v>
      </c>
      <c r="C1746" s="4" t="str">
        <f>"OFICIAL DE PRODUCAO INDUSTRIAL"</f>
        <v>OFICIAL DE PRODUCAO INDUSTRIAL</v>
      </c>
      <c r="D1746" s="5">
        <v>600</v>
      </c>
      <c r="E1746" s="4" t="str">
        <f>"Aposentado"</f>
        <v>Aposentado</v>
      </c>
    </row>
    <row r="1747" spans="1:5">
      <c r="A1747" s="4" t="str">
        <f t="shared" si="125"/>
        <v>6</v>
      </c>
      <c r="B1747" s="4" t="str">
        <f>"LUIZ CARLOS PEREIRA DA COSTA"</f>
        <v>LUIZ CARLOS PEREIRA DA COSTA</v>
      </c>
      <c r="C1747" s="4" t="str">
        <f>"OFICIAL DE PRODUCAO INDUSTRIAL"</f>
        <v>OFICIAL DE PRODUCAO INDUSTRIAL</v>
      </c>
      <c r="D1747" s="5">
        <v>600</v>
      </c>
      <c r="E1747" s="4" t="str">
        <f>"Aposentado"</f>
        <v>Aposentado</v>
      </c>
    </row>
    <row r="1748" spans="1:5">
      <c r="A1748" s="4" t="str">
        <f t="shared" si="125"/>
        <v>6</v>
      </c>
      <c r="B1748" s="4" t="str">
        <f>"LUIZ CARLOS RODRIGUES DA SILVA"</f>
        <v>LUIZ CARLOS RODRIGUES DA SILVA</v>
      </c>
      <c r="C1748" s="4" t="str">
        <f>"AGENTE DE APOIO OPERACIONAL"</f>
        <v>AGENTE DE APOIO OPERACIONAL</v>
      </c>
      <c r="D1748" s="5">
        <v>600</v>
      </c>
      <c r="E1748" s="4" t="str">
        <f t="shared" ref="E1748:E1758" si="128">"Funcionário"</f>
        <v>Funcionário</v>
      </c>
    </row>
    <row r="1749" spans="1:5">
      <c r="A1749" s="4" t="str">
        <f t="shared" si="125"/>
        <v>6</v>
      </c>
      <c r="B1749" s="4" t="str">
        <f>"MAGNA FERREIRA DA LUZ SANTANA"</f>
        <v>MAGNA FERREIRA DA LUZ SANTANA</v>
      </c>
      <c r="C1749" s="4" t="str">
        <f>"OFICIAL DE PRODUCAO INDUSTRIAL"</f>
        <v>OFICIAL DE PRODUCAO INDUSTRIAL</v>
      </c>
      <c r="D1749" s="5">
        <v>600</v>
      </c>
      <c r="E1749" s="4" t="str">
        <f t="shared" si="128"/>
        <v>Funcionário</v>
      </c>
    </row>
    <row r="1750" spans="1:5">
      <c r="A1750" s="4" t="str">
        <f t="shared" si="125"/>
        <v>6</v>
      </c>
      <c r="B1750" s="4" t="str">
        <f>"MAICON PIO DE AZEVEDO"</f>
        <v>MAICON PIO DE AZEVEDO</v>
      </c>
      <c r="C1750" s="4" t="str">
        <f>"GUARDA DE SEG. PATRIMONIAL"</f>
        <v>GUARDA DE SEG. PATRIMONIAL</v>
      </c>
      <c r="D1750" s="5">
        <v>600</v>
      </c>
      <c r="E1750" s="4" t="str">
        <f t="shared" si="128"/>
        <v>Funcionário</v>
      </c>
    </row>
    <row r="1751" spans="1:5">
      <c r="A1751" s="4" t="str">
        <f t="shared" si="125"/>
        <v>6</v>
      </c>
      <c r="B1751" s="4" t="str">
        <f>"MAISA FERREIRA AZEVEDO DOS SANTOS"</f>
        <v>MAISA FERREIRA AZEVEDO DOS SANTOS</v>
      </c>
      <c r="C1751" s="4" t="str">
        <f>"OFICIAL DE PRODUCAO INDUSTRIAL"</f>
        <v>OFICIAL DE PRODUCAO INDUSTRIAL</v>
      </c>
      <c r="D1751" s="5">
        <v>600</v>
      </c>
      <c r="E1751" s="4" t="str">
        <f t="shared" si="128"/>
        <v>Funcionário</v>
      </c>
    </row>
    <row r="1752" spans="1:5">
      <c r="A1752" s="4" t="str">
        <f t="shared" si="125"/>
        <v>6</v>
      </c>
      <c r="B1752" s="4" t="str">
        <f>"MARCELO DE OLIVEIRA CHAPELEM"</f>
        <v>MARCELO DE OLIVEIRA CHAPELEM</v>
      </c>
      <c r="C1752" s="4" t="str">
        <f>"OFICIAL DE PRODUCAO INDUSTRIAL"</f>
        <v>OFICIAL DE PRODUCAO INDUSTRIAL</v>
      </c>
      <c r="D1752" s="5">
        <v>600</v>
      </c>
      <c r="E1752" s="4" t="str">
        <f t="shared" si="128"/>
        <v>Funcionário</v>
      </c>
    </row>
    <row r="1753" spans="1:5">
      <c r="A1753" s="4" t="str">
        <f t="shared" si="125"/>
        <v>6</v>
      </c>
      <c r="B1753" s="4" t="str">
        <f>"MARCELO DIAS DA SILVA"</f>
        <v>MARCELO DIAS DA SILVA</v>
      </c>
      <c r="C1753" s="4" t="str">
        <f>"OFICIAL DE PRODUCAO INDUSTRIAL"</f>
        <v>OFICIAL DE PRODUCAO INDUSTRIAL</v>
      </c>
      <c r="D1753" s="5">
        <v>600</v>
      </c>
      <c r="E1753" s="4" t="str">
        <f t="shared" si="128"/>
        <v>Funcionário</v>
      </c>
    </row>
    <row r="1754" spans="1:5">
      <c r="A1754" s="4" t="str">
        <f t="shared" si="125"/>
        <v>6</v>
      </c>
      <c r="B1754" s="4" t="str">
        <f>"MARCIO CASTILHO DE ARAUJO"</f>
        <v>MARCIO CASTILHO DE ARAUJO</v>
      </c>
      <c r="C1754" s="4" t="str">
        <f>"TECNICO ADM ESPECIALIZADO"</f>
        <v>TECNICO ADM ESPECIALIZADO</v>
      </c>
      <c r="D1754" s="5">
        <v>600</v>
      </c>
      <c r="E1754" s="4" t="str">
        <f t="shared" si="128"/>
        <v>Funcionário</v>
      </c>
    </row>
    <row r="1755" spans="1:5">
      <c r="A1755" s="4" t="str">
        <f t="shared" si="125"/>
        <v>6</v>
      </c>
      <c r="B1755" s="4" t="str">
        <f>"MARCIO COZZOLINO DO NASCIMENTO"</f>
        <v>MARCIO COZZOLINO DO NASCIMENTO</v>
      </c>
      <c r="C1755" s="4" t="str">
        <f>"CHEFE DE UNIDADE II"</f>
        <v>CHEFE DE UNIDADE II</v>
      </c>
      <c r="D1755" s="5">
        <v>601</v>
      </c>
      <c r="E1755" s="4" t="str">
        <f t="shared" si="128"/>
        <v>Funcionário</v>
      </c>
    </row>
    <row r="1756" spans="1:5">
      <c r="A1756" s="4" t="str">
        <f t="shared" si="125"/>
        <v>6</v>
      </c>
      <c r="B1756" s="4" t="str">
        <f>"MÁRCIO VIEIRA DE MELO LIMA"</f>
        <v>MÁRCIO VIEIRA DE MELO LIMA</v>
      </c>
      <c r="C1756" s="4" t="str">
        <f>"TECNICO ADM ESPECIALIZADO"</f>
        <v>TECNICO ADM ESPECIALIZADO</v>
      </c>
      <c r="D1756" s="5">
        <v>600</v>
      </c>
      <c r="E1756" s="4" t="str">
        <f t="shared" si="128"/>
        <v>Funcionário</v>
      </c>
    </row>
    <row r="1757" spans="1:5">
      <c r="A1757" s="4" t="str">
        <f t="shared" si="125"/>
        <v>6</v>
      </c>
      <c r="B1757" s="4" t="str">
        <f>"MARCO ANTONIO BASTOS DA SILVA"</f>
        <v>MARCO ANTONIO BASTOS DA SILVA</v>
      </c>
      <c r="C1757" s="4" t="str">
        <f>"BOMBEIRO CIVIL"</f>
        <v>BOMBEIRO CIVIL</v>
      </c>
      <c r="D1757" s="5">
        <v>600</v>
      </c>
      <c r="E1757" s="4" t="str">
        <f t="shared" si="128"/>
        <v>Funcionário</v>
      </c>
    </row>
    <row r="1758" spans="1:5">
      <c r="A1758" s="4" t="str">
        <f t="shared" si="125"/>
        <v>6</v>
      </c>
      <c r="B1758" s="4" t="str">
        <f>"MARCO AURELIO DA SILVA"</f>
        <v>MARCO AURELIO DA SILVA</v>
      </c>
      <c r="C1758" s="4" t="str">
        <f>"AUXILIAR TECNICO INDUSTRIAL"</f>
        <v>AUXILIAR TECNICO INDUSTRIAL</v>
      </c>
      <c r="D1758" s="5">
        <v>600</v>
      </c>
      <c r="E1758" s="4" t="str">
        <f t="shared" si="128"/>
        <v>Funcionário</v>
      </c>
    </row>
    <row r="1759" spans="1:5">
      <c r="A1759" s="4" t="str">
        <f t="shared" si="125"/>
        <v>6</v>
      </c>
      <c r="B1759" s="4" t="str">
        <f>"MARCOS DE MOURA"</f>
        <v>MARCOS DE MOURA</v>
      </c>
      <c r="C1759" s="4" t="str">
        <f>"OFICIAL DE PRODUCAO INDUSTRIAL"</f>
        <v>OFICIAL DE PRODUCAO INDUSTRIAL</v>
      </c>
      <c r="D1759" s="5">
        <v>600</v>
      </c>
      <c r="E1759" s="4" t="str">
        <f>"Aposentado"</f>
        <v>Aposentado</v>
      </c>
    </row>
    <row r="1760" spans="1:5">
      <c r="A1760" s="4" t="str">
        <f t="shared" si="125"/>
        <v>6</v>
      </c>
      <c r="B1760" s="4" t="str">
        <f>"MARCOS VINÍCIOS TERNAVISK DE LIMA"</f>
        <v>MARCOS VINÍCIOS TERNAVISK DE LIMA</v>
      </c>
      <c r="C1760" s="4" t="str">
        <f>"ANALISTA ESPECIALIZADO"</f>
        <v>ANALISTA ESPECIALIZADO</v>
      </c>
      <c r="D1760" s="5">
        <v>600</v>
      </c>
      <c r="E1760" s="4" t="str">
        <f>"Funcionário"</f>
        <v>Funcionário</v>
      </c>
    </row>
    <row r="1761" spans="1:5">
      <c r="A1761" s="4" t="str">
        <f t="shared" si="125"/>
        <v>6</v>
      </c>
      <c r="B1761" s="4" t="str">
        <f>"MARCOS VINICIUS VALIATI DOS SANTOS  DA L"</f>
        <v>MARCOS VINICIUS VALIATI DOS SANTOS  DA L</v>
      </c>
      <c r="C1761" s="4" t="str">
        <f>"ENGENHEIRO"</f>
        <v>ENGENHEIRO</v>
      </c>
      <c r="D1761" s="5">
        <v>600</v>
      </c>
      <c r="E1761" s="4" t="str">
        <f>"Funcionário"</f>
        <v>Funcionário</v>
      </c>
    </row>
    <row r="1762" spans="1:5">
      <c r="A1762" s="4" t="str">
        <f t="shared" ref="A1762:A1825" si="129">"6"</f>
        <v>6</v>
      </c>
      <c r="B1762" s="4" t="str">
        <f>"MARCUS DE OLIVEIRA CASTILHO"</f>
        <v>MARCUS DE OLIVEIRA CASTILHO</v>
      </c>
      <c r="C1762" s="4" t="str">
        <f>"TECNICO ADM ESPECIALIZADO"</f>
        <v>TECNICO ADM ESPECIALIZADO</v>
      </c>
      <c r="D1762" s="5">
        <v>600</v>
      </c>
      <c r="E1762" s="4" t="str">
        <f>"Funcionário"</f>
        <v>Funcionário</v>
      </c>
    </row>
    <row r="1763" spans="1:5">
      <c r="A1763" s="4" t="str">
        <f t="shared" si="129"/>
        <v>6</v>
      </c>
      <c r="B1763" s="4" t="str">
        <f>"MARIA AUXILIADORA DA SILVA CHAVES"</f>
        <v>MARIA AUXILIADORA DA SILVA CHAVES</v>
      </c>
      <c r="C1763" s="4" t="str">
        <f>"OPER PRODUCAO III"</f>
        <v>OPER PRODUCAO III</v>
      </c>
      <c r="D1763" s="5">
        <v>600</v>
      </c>
      <c r="E1763" s="4" t="str">
        <f>"Funcionário"</f>
        <v>Funcionário</v>
      </c>
    </row>
    <row r="1764" spans="1:5">
      <c r="A1764" s="4" t="str">
        <f t="shared" si="129"/>
        <v>6</v>
      </c>
      <c r="B1764" s="4" t="str">
        <f>"MARIA THEREZINHA ROSA PONTES GERALDO"</f>
        <v>MARIA THEREZINHA ROSA PONTES GERALDO</v>
      </c>
      <c r="C1764" s="4" t="str">
        <f>"AUX TECNICO ADMINISTRATIVO"</f>
        <v>AUX TECNICO ADMINISTRATIVO</v>
      </c>
      <c r="D1764" s="5">
        <v>600</v>
      </c>
      <c r="E1764" s="4" t="str">
        <f>"Aposentado"</f>
        <v>Aposentado</v>
      </c>
    </row>
    <row r="1765" spans="1:5">
      <c r="A1765" s="4" t="str">
        <f t="shared" si="129"/>
        <v>6</v>
      </c>
      <c r="B1765" s="4" t="str">
        <f>"MARIAH NASCIMENTO MOURA"</f>
        <v>MARIAH NASCIMENTO MOURA</v>
      </c>
      <c r="C1765" s="4" t="str">
        <f>"ANALISTA ESPECIALIZADO"</f>
        <v>ANALISTA ESPECIALIZADO</v>
      </c>
      <c r="D1765" s="5">
        <v>600</v>
      </c>
      <c r="E1765" s="4" t="str">
        <f t="shared" ref="E1765:E1770" si="130">"Funcionário"</f>
        <v>Funcionário</v>
      </c>
    </row>
    <row r="1766" spans="1:5">
      <c r="A1766" s="4" t="str">
        <f t="shared" si="129"/>
        <v>6</v>
      </c>
      <c r="B1766" s="4" t="str">
        <f>"MARIANA RIBEIRO DA SILVA"</f>
        <v>MARIANA RIBEIRO DA SILVA</v>
      </c>
      <c r="C1766" s="4" t="str">
        <f>"ANALISTA ESPECIALIZADO"</f>
        <v>ANALISTA ESPECIALIZADO</v>
      </c>
      <c r="D1766" s="5">
        <v>600</v>
      </c>
      <c r="E1766" s="4" t="str">
        <f t="shared" si="130"/>
        <v>Funcionário</v>
      </c>
    </row>
    <row r="1767" spans="1:5">
      <c r="A1767" s="4" t="str">
        <f t="shared" si="129"/>
        <v>6</v>
      </c>
      <c r="B1767" s="4" t="str">
        <f>"MARIANE SILVA SOARES FERREIRA"</f>
        <v>MARIANE SILVA SOARES FERREIRA</v>
      </c>
      <c r="C1767" s="4" t="str">
        <f>"TEC INDUSTRIAL ESPECIALIZADO"</f>
        <v>TEC INDUSTRIAL ESPECIALIZADO</v>
      </c>
      <c r="D1767" s="5">
        <v>600</v>
      </c>
      <c r="E1767" s="4" t="str">
        <f t="shared" si="130"/>
        <v>Funcionário</v>
      </c>
    </row>
    <row r="1768" spans="1:5">
      <c r="A1768" s="4" t="str">
        <f t="shared" si="129"/>
        <v>6</v>
      </c>
      <c r="B1768" s="4" t="str">
        <f>"MARIO ENILSON SEVERINO JUNIOR"</f>
        <v>MARIO ENILSON SEVERINO JUNIOR</v>
      </c>
      <c r="C1768" s="4" t="str">
        <f>"OFICIAL DE PRODUCAO INDUSTRIAL"</f>
        <v>OFICIAL DE PRODUCAO INDUSTRIAL</v>
      </c>
      <c r="D1768" s="5">
        <v>600</v>
      </c>
      <c r="E1768" s="4" t="str">
        <f t="shared" si="130"/>
        <v>Funcionário</v>
      </c>
    </row>
    <row r="1769" spans="1:5">
      <c r="A1769" s="4" t="str">
        <f t="shared" si="129"/>
        <v>6</v>
      </c>
      <c r="B1769" s="4" t="str">
        <f>"MARISTELA VIEIRA DA SILVA"</f>
        <v>MARISTELA VIEIRA DA SILVA</v>
      </c>
      <c r="C1769" s="4" t="str">
        <f>"TECNICO ADM ESPECIALIZADO"</f>
        <v>TECNICO ADM ESPECIALIZADO</v>
      </c>
      <c r="D1769" s="5">
        <v>600</v>
      </c>
      <c r="E1769" s="4" t="str">
        <f t="shared" si="130"/>
        <v>Funcionário</v>
      </c>
    </row>
    <row r="1770" spans="1:5">
      <c r="A1770" s="4" t="str">
        <f t="shared" si="129"/>
        <v>6</v>
      </c>
      <c r="B1770" s="4" t="str">
        <f>"MARLI ALVES VIEIRA"</f>
        <v>MARLI ALVES VIEIRA</v>
      </c>
      <c r="C1770" s="4" t="str">
        <f>"OPER PRODUCAO III"</f>
        <v>OPER PRODUCAO III</v>
      </c>
      <c r="D1770" s="5">
        <v>600</v>
      </c>
      <c r="E1770" s="4" t="str">
        <f t="shared" si="130"/>
        <v>Funcionário</v>
      </c>
    </row>
    <row r="1771" spans="1:5">
      <c r="A1771" s="4" t="str">
        <f t="shared" si="129"/>
        <v>6</v>
      </c>
      <c r="B1771" s="4" t="str">
        <f>"MARLI DAS GRACAS MANTOVANI ALEXANDRE"</f>
        <v>MARLI DAS GRACAS MANTOVANI ALEXANDRE</v>
      </c>
      <c r="C1771" s="4" t="str">
        <f>"AUXILIAR TECNICO INDUSTRIAL"</f>
        <v>AUXILIAR TECNICO INDUSTRIAL</v>
      </c>
      <c r="D1771" s="5">
        <v>600</v>
      </c>
      <c r="E1771" s="4" t="str">
        <f>"Aposentado"</f>
        <v>Aposentado</v>
      </c>
    </row>
    <row r="1772" spans="1:5">
      <c r="A1772" s="4" t="str">
        <f t="shared" si="129"/>
        <v>6</v>
      </c>
      <c r="B1772" s="4" t="str">
        <f>"MARLON MÁRCIO DE OLIVEIRA"</f>
        <v>MARLON MÁRCIO DE OLIVEIRA</v>
      </c>
      <c r="C1772" s="4" t="str">
        <f>"TEC INDUSTRIAL ESPECIALIZADO"</f>
        <v>TEC INDUSTRIAL ESPECIALIZADO</v>
      </c>
      <c r="D1772" s="5">
        <v>600</v>
      </c>
      <c r="E1772" s="4" t="str">
        <f>"Funcionário"</f>
        <v>Funcionário</v>
      </c>
    </row>
    <row r="1773" spans="1:5">
      <c r="A1773" s="4" t="str">
        <f t="shared" si="129"/>
        <v>6</v>
      </c>
      <c r="B1773" s="4" t="str">
        <f>"MAURICIO DE SOUSA SOARES"</f>
        <v>MAURICIO DE SOUSA SOARES</v>
      </c>
      <c r="C1773" s="4" t="str">
        <f>"OFICIAL DE PRODUCAO INDUSTRIAL"</f>
        <v>OFICIAL DE PRODUCAO INDUSTRIAL</v>
      </c>
      <c r="D1773" s="5">
        <v>600</v>
      </c>
      <c r="E1773" s="4" t="str">
        <f>"Funcionário"</f>
        <v>Funcionário</v>
      </c>
    </row>
    <row r="1774" spans="1:5">
      <c r="A1774" s="4" t="str">
        <f t="shared" si="129"/>
        <v>6</v>
      </c>
      <c r="B1774" s="4" t="str">
        <f>"MAURICIO OLIVEIRA MOURA"</f>
        <v>MAURICIO OLIVEIRA MOURA</v>
      </c>
      <c r="C1774" s="4" t="str">
        <f>"AGENTE DE APOIO OPERACIONAL"</f>
        <v>AGENTE DE APOIO OPERACIONAL</v>
      </c>
      <c r="D1774" s="5">
        <v>600</v>
      </c>
      <c r="E1774" s="4" t="str">
        <f>"Aposentado"</f>
        <v>Aposentado</v>
      </c>
    </row>
    <row r="1775" spans="1:5">
      <c r="A1775" s="4" t="str">
        <f t="shared" si="129"/>
        <v>6</v>
      </c>
      <c r="B1775" s="4" t="str">
        <f>"MÁVILA MAIB DE BRITO DE SANTANA"</f>
        <v>MÁVILA MAIB DE BRITO DE SANTANA</v>
      </c>
      <c r="C1775" s="4" t="str">
        <f>"OFICIAL DE PRODUCAO INDUSTRIAL"</f>
        <v>OFICIAL DE PRODUCAO INDUSTRIAL</v>
      </c>
      <c r="D1775" s="5">
        <v>600</v>
      </c>
      <c r="E1775" s="4" t="str">
        <f>"Funcionário"</f>
        <v>Funcionário</v>
      </c>
    </row>
    <row r="1776" spans="1:5">
      <c r="A1776" s="4" t="str">
        <f t="shared" si="129"/>
        <v>6</v>
      </c>
      <c r="B1776" s="4" t="str">
        <f>"MAYCON DE OLIVEIRA RIBEIRO"</f>
        <v>MAYCON DE OLIVEIRA RIBEIRO</v>
      </c>
      <c r="C1776" s="4" t="str">
        <f>"OFICIAL DE PRODUCAO INDUSTRIAL"</f>
        <v>OFICIAL DE PRODUCAO INDUSTRIAL</v>
      </c>
      <c r="D1776" s="5">
        <v>600</v>
      </c>
      <c r="E1776" s="4" t="str">
        <f>"Funcionário"</f>
        <v>Funcionário</v>
      </c>
    </row>
    <row r="1777" spans="1:5">
      <c r="A1777" s="4" t="str">
        <f t="shared" si="129"/>
        <v>6</v>
      </c>
      <c r="B1777" s="4" t="str">
        <f>"MESSIAS JORGE OLIVEIRA DE SANTANA"</f>
        <v>MESSIAS JORGE OLIVEIRA DE SANTANA</v>
      </c>
      <c r="C1777" s="4" t="str">
        <f>"OFICIAL DE PRODUCAO INDUSTRIAL"</f>
        <v>OFICIAL DE PRODUCAO INDUSTRIAL</v>
      </c>
      <c r="D1777" s="5">
        <v>600</v>
      </c>
      <c r="E1777" s="4" t="str">
        <f>"Funcionário"</f>
        <v>Funcionário</v>
      </c>
    </row>
    <row r="1778" spans="1:5">
      <c r="A1778" s="4" t="str">
        <f t="shared" si="129"/>
        <v>6</v>
      </c>
      <c r="B1778" s="4" t="str">
        <f>"MIGUEL JORGE DA CONCEICAO MACHADO"</f>
        <v>MIGUEL JORGE DA CONCEICAO MACHADO</v>
      </c>
      <c r="C1778" s="4" t="str">
        <f>"TEC INDUSTRIAL ESPECIALIZADO"</f>
        <v>TEC INDUSTRIAL ESPECIALIZADO</v>
      </c>
      <c r="D1778" s="5">
        <v>600</v>
      </c>
      <c r="E1778" s="4" t="str">
        <f>"Funcionário"</f>
        <v>Funcionário</v>
      </c>
    </row>
    <row r="1779" spans="1:5">
      <c r="A1779" s="4" t="str">
        <f t="shared" si="129"/>
        <v>6</v>
      </c>
      <c r="B1779" s="4" t="str">
        <f>"MONIQUE DA COSTA FARIAS DE BARROS"</f>
        <v>MONIQUE DA COSTA FARIAS DE BARROS</v>
      </c>
      <c r="C1779" s="4" t="str">
        <f>"OFICIAL DE PRODUCAO INDUSTRIAL"</f>
        <v>OFICIAL DE PRODUCAO INDUSTRIAL</v>
      </c>
      <c r="D1779" s="5">
        <v>600</v>
      </c>
      <c r="E1779" s="4" t="str">
        <f>"Funcionário"</f>
        <v>Funcionário</v>
      </c>
    </row>
    <row r="1780" spans="1:5">
      <c r="A1780" s="4" t="str">
        <f t="shared" si="129"/>
        <v>6</v>
      </c>
      <c r="B1780" s="4" t="str">
        <f>"NATHÁLIA TERRA DA SILVA"</f>
        <v>NATHÁLIA TERRA DA SILVA</v>
      </c>
      <c r="C1780" s="4" t="str">
        <f>"APRENDIZ- ADMINISTRATIVO"</f>
        <v>APRENDIZ- ADMINISTRATIVO</v>
      </c>
      <c r="D1780" s="5">
        <v>603</v>
      </c>
      <c r="E1780" s="4" t="str">
        <f>"Aprendiz"</f>
        <v>Aprendiz</v>
      </c>
    </row>
    <row r="1781" spans="1:5">
      <c r="A1781" s="4" t="str">
        <f t="shared" si="129"/>
        <v>6</v>
      </c>
      <c r="B1781" s="4" t="str">
        <f>"NEURIZETE CONDACK DE ARAUJO"</f>
        <v>NEURIZETE CONDACK DE ARAUJO</v>
      </c>
      <c r="C1781" s="4" t="str">
        <f>"OFICIAL DE PRODUCAO INDUSTRIAL"</f>
        <v>OFICIAL DE PRODUCAO INDUSTRIAL</v>
      </c>
      <c r="D1781" s="5">
        <v>600</v>
      </c>
      <c r="E1781" s="4" t="str">
        <f>"Aposentado"</f>
        <v>Aposentado</v>
      </c>
    </row>
    <row r="1782" spans="1:5">
      <c r="A1782" s="4" t="str">
        <f t="shared" si="129"/>
        <v>6</v>
      </c>
      <c r="B1782" s="4" t="str">
        <f>"ODAIR LEAL"</f>
        <v>ODAIR LEAL</v>
      </c>
      <c r="C1782" s="4" t="str">
        <f>"OPER PRODUCAO III"</f>
        <v>OPER PRODUCAO III</v>
      </c>
      <c r="D1782" s="5">
        <v>600</v>
      </c>
      <c r="E1782" s="4" t="str">
        <f t="shared" ref="E1782:E1790" si="131">"Funcionário"</f>
        <v>Funcionário</v>
      </c>
    </row>
    <row r="1783" spans="1:5">
      <c r="A1783" s="4" t="str">
        <f t="shared" si="129"/>
        <v>6</v>
      </c>
      <c r="B1783" s="4" t="str">
        <f>"PATRICIA ALVES FALCÃO"</f>
        <v>PATRICIA ALVES FALCÃO</v>
      </c>
      <c r="C1783" s="4" t="str">
        <f>"AGENTE DE APOIO OPERACIONAL"</f>
        <v>AGENTE DE APOIO OPERACIONAL</v>
      </c>
      <c r="D1783" s="5">
        <v>600</v>
      </c>
      <c r="E1783" s="4" t="str">
        <f t="shared" si="131"/>
        <v>Funcionário</v>
      </c>
    </row>
    <row r="1784" spans="1:5">
      <c r="A1784" s="4" t="str">
        <f t="shared" si="129"/>
        <v>6</v>
      </c>
      <c r="B1784" s="4" t="str">
        <f>"PATRÍCIA CORRÊA BARBOSA PIERONI"</f>
        <v>PATRÍCIA CORRÊA BARBOSA PIERONI</v>
      </c>
      <c r="C1784" s="4" t="str">
        <f>"ANALISTA ESPECIALIZADO"</f>
        <v>ANALISTA ESPECIALIZADO</v>
      </c>
      <c r="D1784" s="5">
        <v>600</v>
      </c>
      <c r="E1784" s="4" t="str">
        <f t="shared" si="131"/>
        <v>Funcionário</v>
      </c>
    </row>
    <row r="1785" spans="1:5">
      <c r="A1785" s="4" t="str">
        <f t="shared" si="129"/>
        <v>6</v>
      </c>
      <c r="B1785" s="4" t="str">
        <f>"PATRYCK ALVES DE SÁ"</f>
        <v>PATRYCK ALVES DE SÁ</v>
      </c>
      <c r="C1785" s="4" t="str">
        <f>"BOMBEIRO CIVIL"</f>
        <v>BOMBEIRO CIVIL</v>
      </c>
      <c r="D1785" s="5">
        <v>600</v>
      </c>
      <c r="E1785" s="4" t="str">
        <f t="shared" si="131"/>
        <v>Funcionário</v>
      </c>
    </row>
    <row r="1786" spans="1:5">
      <c r="A1786" s="4" t="str">
        <f t="shared" si="129"/>
        <v>6</v>
      </c>
      <c r="B1786" s="4" t="str">
        <f>"PAULO DE OLIVEIRA VENTAPANE"</f>
        <v>PAULO DE OLIVEIRA VENTAPANE</v>
      </c>
      <c r="C1786" s="4" t="str">
        <f>"AGENTE DE APOIO OPERACIONAL"</f>
        <v>AGENTE DE APOIO OPERACIONAL</v>
      </c>
      <c r="D1786" s="5">
        <v>600</v>
      </c>
      <c r="E1786" s="4" t="str">
        <f t="shared" si="131"/>
        <v>Funcionário</v>
      </c>
    </row>
    <row r="1787" spans="1:5">
      <c r="A1787" s="4" t="str">
        <f t="shared" si="129"/>
        <v>6</v>
      </c>
      <c r="B1787" s="4" t="str">
        <f>"PAULO DOS SANTOS SILVA"</f>
        <v>PAULO DOS SANTOS SILVA</v>
      </c>
      <c r="C1787" s="4" t="str">
        <f>"BOMBEIRO CIVIL"</f>
        <v>BOMBEIRO CIVIL</v>
      </c>
      <c r="D1787" s="5">
        <v>600</v>
      </c>
      <c r="E1787" s="4" t="str">
        <f t="shared" si="131"/>
        <v>Funcionário</v>
      </c>
    </row>
    <row r="1788" spans="1:5">
      <c r="A1788" s="4" t="str">
        <f t="shared" si="129"/>
        <v>6</v>
      </c>
      <c r="B1788" s="4" t="str">
        <f>"PAULO RENATO DE SOUZA MANHÃES"</f>
        <v>PAULO RENATO DE SOUZA MANHÃES</v>
      </c>
      <c r="C1788" s="4" t="str">
        <f>"TECNICO ADM ESPECIALIZADO"</f>
        <v>TECNICO ADM ESPECIALIZADO</v>
      </c>
      <c r="D1788" s="5">
        <v>600</v>
      </c>
      <c r="E1788" s="4" t="str">
        <f t="shared" si="131"/>
        <v>Funcionário</v>
      </c>
    </row>
    <row r="1789" spans="1:5">
      <c r="A1789" s="4" t="str">
        <f t="shared" si="129"/>
        <v>6</v>
      </c>
      <c r="B1789" s="4" t="str">
        <f>"PAULO ROBERTO QUINTANILHA DA SILVA"</f>
        <v>PAULO ROBERTO QUINTANILHA DA SILVA</v>
      </c>
      <c r="C1789" s="4" t="str">
        <f>"TECNICO ADM ESPECIALIZADO"</f>
        <v>TECNICO ADM ESPECIALIZADO</v>
      </c>
      <c r="D1789" s="5">
        <v>600</v>
      </c>
      <c r="E1789" s="4" t="str">
        <f t="shared" si="131"/>
        <v>Funcionário</v>
      </c>
    </row>
    <row r="1790" spans="1:5">
      <c r="A1790" s="4" t="str">
        <f t="shared" si="129"/>
        <v>6</v>
      </c>
      <c r="B1790" s="4" t="str">
        <f>"PAULO SERGIO DE OLIVEIRA CEZARIO"</f>
        <v>PAULO SERGIO DE OLIVEIRA CEZARIO</v>
      </c>
      <c r="C1790" s="4" t="str">
        <f>"ENGENHEIRO"</f>
        <v>ENGENHEIRO</v>
      </c>
      <c r="D1790" s="5">
        <v>600</v>
      </c>
      <c r="E1790" s="4" t="str">
        <f t="shared" si="131"/>
        <v>Funcionário</v>
      </c>
    </row>
    <row r="1791" spans="1:5">
      <c r="A1791" s="4" t="str">
        <f t="shared" si="129"/>
        <v>6</v>
      </c>
      <c r="B1791" s="4" t="str">
        <f>"PAULO SERGIO SOARES"</f>
        <v>PAULO SERGIO SOARES</v>
      </c>
      <c r="C1791" s="4" t="str">
        <f>"AUXILIAR TECNICO INDUSTRIAL"</f>
        <v>AUXILIAR TECNICO INDUSTRIAL</v>
      </c>
      <c r="D1791" s="5">
        <v>600</v>
      </c>
      <c r="E1791" s="4" t="str">
        <f>"Aposentado"</f>
        <v>Aposentado</v>
      </c>
    </row>
    <row r="1792" spans="1:5">
      <c r="A1792" s="4" t="str">
        <f t="shared" si="129"/>
        <v>6</v>
      </c>
      <c r="B1792" s="4" t="str">
        <f>"PEDRO DOS SANTOS LUIZ"</f>
        <v>PEDRO DOS SANTOS LUIZ</v>
      </c>
      <c r="C1792" s="4" t="str">
        <f>"OFICIAL DE PRODUCAO INDUSTRIAL"</f>
        <v>OFICIAL DE PRODUCAO INDUSTRIAL</v>
      </c>
      <c r="D1792" s="5">
        <v>600</v>
      </c>
      <c r="E1792" s="4" t="str">
        <f>"Aposentado"</f>
        <v>Aposentado</v>
      </c>
    </row>
    <row r="1793" spans="1:5">
      <c r="A1793" s="4" t="str">
        <f t="shared" si="129"/>
        <v>6</v>
      </c>
      <c r="B1793" s="4" t="str">
        <f>"PEDRO PAULO MOREIRA FARIA"</f>
        <v>PEDRO PAULO MOREIRA FARIA</v>
      </c>
      <c r="C1793" s="4" t="str">
        <f>"AGENTE DE APOIO OPERACIONAL"</f>
        <v>AGENTE DE APOIO OPERACIONAL</v>
      </c>
      <c r="D1793" s="5">
        <v>600</v>
      </c>
      <c r="E1793" s="4" t="str">
        <f t="shared" ref="E1793:E1799" si="132">"Funcionário"</f>
        <v>Funcionário</v>
      </c>
    </row>
    <row r="1794" spans="1:5">
      <c r="A1794" s="4" t="str">
        <f t="shared" si="129"/>
        <v>6</v>
      </c>
      <c r="B1794" s="4" t="str">
        <f>"PEDRO TRISTÃO RIBEIRO"</f>
        <v>PEDRO TRISTÃO RIBEIRO</v>
      </c>
      <c r="C1794" s="4" t="str">
        <f>"MILITAR DA ATIVA"</f>
        <v>MILITAR DA ATIVA</v>
      </c>
      <c r="D1794" s="5">
        <v>605</v>
      </c>
      <c r="E1794" s="4" t="str">
        <f t="shared" si="132"/>
        <v>Funcionário</v>
      </c>
    </row>
    <row r="1795" spans="1:5">
      <c r="A1795" s="4" t="str">
        <f t="shared" si="129"/>
        <v>6</v>
      </c>
      <c r="B1795" s="4" t="str">
        <f>"PHILIPE CARDOSO DE CARVALHO"</f>
        <v>PHILIPE CARDOSO DE CARVALHO</v>
      </c>
      <c r="C1795" s="4" t="str">
        <f>"ENGENHEIRO"</f>
        <v>ENGENHEIRO</v>
      </c>
      <c r="D1795" s="5">
        <v>600</v>
      </c>
      <c r="E1795" s="4" t="str">
        <f t="shared" si="132"/>
        <v>Funcionário</v>
      </c>
    </row>
    <row r="1796" spans="1:5">
      <c r="A1796" s="4" t="str">
        <f t="shared" si="129"/>
        <v>6</v>
      </c>
      <c r="B1796" s="4" t="str">
        <f>"PORCINA JESUS DE SOUZA"</f>
        <v>PORCINA JESUS DE SOUZA</v>
      </c>
      <c r="C1796" s="4" t="str">
        <f>"AJUDANTE GERAL III"</f>
        <v>AJUDANTE GERAL III</v>
      </c>
      <c r="D1796" s="5">
        <v>600</v>
      </c>
      <c r="E1796" s="4" t="str">
        <f t="shared" si="132"/>
        <v>Funcionário</v>
      </c>
    </row>
    <row r="1797" spans="1:5">
      <c r="A1797" s="4" t="str">
        <f t="shared" si="129"/>
        <v>6</v>
      </c>
      <c r="B1797" s="4" t="str">
        <f>"RAFAEL DOS SANTOS PEREIRA"</f>
        <v>RAFAEL DOS SANTOS PEREIRA</v>
      </c>
      <c r="C1797" s="4" t="str">
        <f>"OF FERRAMENTARIA INDUSTRIAL"</f>
        <v>OF FERRAMENTARIA INDUSTRIAL</v>
      </c>
      <c r="D1797" s="5">
        <v>600</v>
      </c>
      <c r="E1797" s="4" t="str">
        <f t="shared" si="132"/>
        <v>Funcionário</v>
      </c>
    </row>
    <row r="1798" spans="1:5">
      <c r="A1798" s="4" t="str">
        <f t="shared" si="129"/>
        <v>6</v>
      </c>
      <c r="B1798" s="4" t="str">
        <f>"REGINA RIBEIRO DA COSTA DE OLIVEIRA"</f>
        <v>REGINA RIBEIRO DA COSTA DE OLIVEIRA</v>
      </c>
      <c r="C1798" s="4" t="str">
        <f>"OFICIAL DE PRODUCAO INDUSTRIAL"</f>
        <v>OFICIAL DE PRODUCAO INDUSTRIAL</v>
      </c>
      <c r="D1798" s="5">
        <v>600</v>
      </c>
      <c r="E1798" s="4" t="str">
        <f t="shared" si="132"/>
        <v>Funcionário</v>
      </c>
    </row>
    <row r="1799" spans="1:5">
      <c r="A1799" s="4" t="str">
        <f t="shared" si="129"/>
        <v>6</v>
      </c>
      <c r="B1799" s="4" t="str">
        <f>"REINALDO PONTES ALVES"</f>
        <v>REINALDO PONTES ALVES</v>
      </c>
      <c r="C1799" s="4" t="str">
        <f>"AUX TECNICO II"</f>
        <v>AUX TECNICO II</v>
      </c>
      <c r="D1799" s="5">
        <v>600</v>
      </c>
      <c r="E1799" s="4" t="str">
        <f t="shared" si="132"/>
        <v>Funcionário</v>
      </c>
    </row>
    <row r="1800" spans="1:5">
      <c r="A1800" s="4" t="str">
        <f t="shared" si="129"/>
        <v>6</v>
      </c>
      <c r="B1800" s="4" t="str">
        <f>"REINALDO THEODORO DA SILVA"</f>
        <v>REINALDO THEODORO DA SILVA</v>
      </c>
      <c r="C1800" s="4" t="str">
        <f>"OFICIAL DE PRODUCAO INDUSTRIAL"</f>
        <v>OFICIAL DE PRODUCAO INDUSTRIAL</v>
      </c>
      <c r="D1800" s="5">
        <v>600</v>
      </c>
      <c r="E1800" s="4" t="str">
        <f>"Aposentado"</f>
        <v>Aposentado</v>
      </c>
    </row>
    <row r="1801" spans="1:5">
      <c r="A1801" s="4" t="str">
        <f t="shared" si="129"/>
        <v>6</v>
      </c>
      <c r="B1801" s="4" t="str">
        <f>"RENATA LOPES RIBEIRO DE OLIVEIRA"</f>
        <v>RENATA LOPES RIBEIRO DE OLIVEIRA</v>
      </c>
      <c r="C1801" s="4" t="str">
        <f>"ANALISTA ESPECIALIZADO"</f>
        <v>ANALISTA ESPECIALIZADO</v>
      </c>
      <c r="D1801" s="5">
        <v>600</v>
      </c>
      <c r="E1801" s="4" t="str">
        <f>"Funcionário"</f>
        <v>Funcionário</v>
      </c>
    </row>
    <row r="1802" spans="1:5">
      <c r="A1802" s="4" t="str">
        <f t="shared" si="129"/>
        <v>6</v>
      </c>
      <c r="B1802" s="4" t="str">
        <f>"RICARDO ANUNCIAÇÃO"</f>
        <v>RICARDO ANUNCIAÇÃO</v>
      </c>
      <c r="C1802" s="4" t="str">
        <f>"MOTORISTA MOP"</f>
        <v>MOTORISTA MOP</v>
      </c>
      <c r="D1802" s="5">
        <v>600</v>
      </c>
      <c r="E1802" s="4" t="str">
        <f>"Funcionário"</f>
        <v>Funcionário</v>
      </c>
    </row>
    <row r="1803" spans="1:5">
      <c r="A1803" s="4" t="str">
        <f t="shared" si="129"/>
        <v>6</v>
      </c>
      <c r="B1803" s="4" t="str">
        <f>"RICARDO BRAGA DOS SANTOS"</f>
        <v>RICARDO BRAGA DOS SANTOS</v>
      </c>
      <c r="C1803" s="4" t="str">
        <f>"AUXILIAR TECNICO INDUSTRIAL"</f>
        <v>AUXILIAR TECNICO INDUSTRIAL</v>
      </c>
      <c r="D1803" s="5">
        <v>600</v>
      </c>
      <c r="E1803" s="4" t="str">
        <f>"Funcionário"</f>
        <v>Funcionário</v>
      </c>
    </row>
    <row r="1804" spans="1:5">
      <c r="A1804" s="4" t="str">
        <f t="shared" si="129"/>
        <v>6</v>
      </c>
      <c r="B1804" s="4" t="str">
        <f>"RICARDO LUCIO FERREIRA DE MELO"</f>
        <v>RICARDO LUCIO FERREIRA DE MELO</v>
      </c>
      <c r="C1804" s="4" t="str">
        <f>"ENGENHEIRO"</f>
        <v>ENGENHEIRO</v>
      </c>
      <c r="D1804" s="5">
        <v>600</v>
      </c>
      <c r="E1804" s="4" t="str">
        <f>"Funcionário"</f>
        <v>Funcionário</v>
      </c>
    </row>
    <row r="1805" spans="1:5">
      <c r="A1805" s="4" t="str">
        <f t="shared" si="129"/>
        <v>6</v>
      </c>
      <c r="B1805" s="4" t="str">
        <f>"ROBERT BORGES AMORIM"</f>
        <v>ROBERT BORGES AMORIM</v>
      </c>
      <c r="C1805" s="4" t="str">
        <f>"OFICIAL DE PRODUCAO INDUSTRIAL"</f>
        <v>OFICIAL DE PRODUCAO INDUSTRIAL</v>
      </c>
      <c r="D1805" s="5">
        <v>600</v>
      </c>
      <c r="E1805" s="4" t="str">
        <f>"Funcionário"</f>
        <v>Funcionário</v>
      </c>
    </row>
    <row r="1806" spans="1:5">
      <c r="A1806" s="4" t="str">
        <f t="shared" si="129"/>
        <v>6</v>
      </c>
      <c r="B1806" s="4" t="str">
        <f>"ROBERTO CEZAR LOURO"</f>
        <v>ROBERTO CEZAR LOURO</v>
      </c>
      <c r="C1806" s="4" t="str">
        <f>"AUX TECNICO ADMINISTRATIVO"</f>
        <v>AUX TECNICO ADMINISTRATIVO</v>
      </c>
      <c r="D1806" s="5">
        <v>600</v>
      </c>
      <c r="E1806" s="4" t="str">
        <f>"Aposentado"</f>
        <v>Aposentado</v>
      </c>
    </row>
    <row r="1807" spans="1:5">
      <c r="A1807" s="4" t="str">
        <f t="shared" si="129"/>
        <v>6</v>
      </c>
      <c r="B1807" s="4" t="str">
        <f>"ROBERTO JUSTINO DA SILVA JUNIOR"</f>
        <v>ROBERTO JUSTINO DA SILVA JUNIOR</v>
      </c>
      <c r="C1807" s="4" t="str">
        <f>"TEC INDUSTRIAL ESPECIALIZADO"</f>
        <v>TEC INDUSTRIAL ESPECIALIZADO</v>
      </c>
      <c r="D1807" s="5">
        <v>600</v>
      </c>
      <c r="E1807" s="4" t="str">
        <f t="shared" ref="E1807:E1817" si="133">"Funcionário"</f>
        <v>Funcionário</v>
      </c>
    </row>
    <row r="1808" spans="1:5">
      <c r="A1808" s="4" t="str">
        <f t="shared" si="129"/>
        <v>6</v>
      </c>
      <c r="B1808" s="4" t="str">
        <f>"ROBSON DE SOUZA PEREIRA"</f>
        <v>ROBSON DE SOUZA PEREIRA</v>
      </c>
      <c r="C1808" s="4" t="str">
        <f>"OFICIAL DE PRODUCAO INDUSTRIAL"</f>
        <v>OFICIAL DE PRODUCAO INDUSTRIAL</v>
      </c>
      <c r="D1808" s="5">
        <v>600</v>
      </c>
      <c r="E1808" s="4" t="str">
        <f t="shared" si="133"/>
        <v>Funcionário</v>
      </c>
    </row>
    <row r="1809" spans="1:5">
      <c r="A1809" s="4" t="str">
        <f t="shared" si="129"/>
        <v>6</v>
      </c>
      <c r="B1809" s="4" t="str">
        <f>"ROBSON GONÇALVES DOS SANTOS"</f>
        <v>ROBSON GONÇALVES DOS SANTOS</v>
      </c>
      <c r="C1809" s="4" t="str">
        <f>"AGENTE DE APOIO OPERACIONAL"</f>
        <v>AGENTE DE APOIO OPERACIONAL</v>
      </c>
      <c r="D1809" s="5">
        <v>600</v>
      </c>
      <c r="E1809" s="4" t="str">
        <f t="shared" si="133"/>
        <v>Funcionário</v>
      </c>
    </row>
    <row r="1810" spans="1:5">
      <c r="A1810" s="4" t="str">
        <f t="shared" si="129"/>
        <v>6</v>
      </c>
      <c r="B1810" s="4" t="str">
        <f>"RODOLFO FERNANDES PEREIRA"</f>
        <v>RODOLFO FERNANDES PEREIRA</v>
      </c>
      <c r="C1810" s="4" t="str">
        <f>"AUXILIAR TECNICO INDUSTRIAL"</f>
        <v>AUXILIAR TECNICO INDUSTRIAL</v>
      </c>
      <c r="D1810" s="5">
        <v>600</v>
      </c>
      <c r="E1810" s="4" t="str">
        <f t="shared" si="133"/>
        <v>Funcionário</v>
      </c>
    </row>
    <row r="1811" spans="1:5">
      <c r="A1811" s="4" t="str">
        <f t="shared" si="129"/>
        <v>6</v>
      </c>
      <c r="B1811" s="4" t="str">
        <f>"RODRIGO DA COSTA DAHER"</f>
        <v>RODRIGO DA COSTA DAHER</v>
      </c>
      <c r="C1811" s="4" t="str">
        <f>"AUXILIAR TECNICO INDUSTRIAL"</f>
        <v>AUXILIAR TECNICO INDUSTRIAL</v>
      </c>
      <c r="D1811" s="5">
        <v>600</v>
      </c>
      <c r="E1811" s="4" t="str">
        <f t="shared" si="133"/>
        <v>Funcionário</v>
      </c>
    </row>
    <row r="1812" spans="1:5">
      <c r="A1812" s="4" t="str">
        <f t="shared" si="129"/>
        <v>6</v>
      </c>
      <c r="B1812" s="4" t="str">
        <f>"RODRIGO FERRAZ DA SILVA"</f>
        <v>RODRIGO FERRAZ DA SILVA</v>
      </c>
      <c r="C1812" s="4" t="str">
        <f>"OFICIAL DE PRODUCAO INDUSTRIAL"</f>
        <v>OFICIAL DE PRODUCAO INDUSTRIAL</v>
      </c>
      <c r="D1812" s="5">
        <v>600</v>
      </c>
      <c r="E1812" s="4" t="str">
        <f t="shared" si="133"/>
        <v>Funcionário</v>
      </c>
    </row>
    <row r="1813" spans="1:5">
      <c r="A1813" s="4" t="str">
        <f t="shared" si="129"/>
        <v>6</v>
      </c>
      <c r="B1813" s="4" t="str">
        <f>"RODRIGO SANTOS RODRIGUES"</f>
        <v>RODRIGO SANTOS RODRIGUES</v>
      </c>
      <c r="C1813" s="4" t="str">
        <f>"ASSESSOR CHEFE I"</f>
        <v>ASSESSOR CHEFE I</v>
      </c>
      <c r="D1813" s="5">
        <v>601</v>
      </c>
      <c r="E1813" s="4" t="str">
        <f t="shared" si="133"/>
        <v>Funcionário</v>
      </c>
    </row>
    <row r="1814" spans="1:5">
      <c r="A1814" s="4" t="str">
        <f t="shared" si="129"/>
        <v>6</v>
      </c>
      <c r="B1814" s="4" t="str">
        <f>"RODRIGO SGAMBATO ROBERTO"</f>
        <v>RODRIGO SGAMBATO ROBERTO</v>
      </c>
      <c r="C1814" s="4" t="str">
        <f>"ENGENHEIRO"</f>
        <v>ENGENHEIRO</v>
      </c>
      <c r="D1814" s="5">
        <v>600</v>
      </c>
      <c r="E1814" s="4" t="str">
        <f t="shared" si="133"/>
        <v>Funcionário</v>
      </c>
    </row>
    <row r="1815" spans="1:5">
      <c r="A1815" s="4" t="str">
        <f t="shared" si="129"/>
        <v>6</v>
      </c>
      <c r="B1815" s="4" t="str">
        <f>"ROGERIO ALVES FERREIRA"</f>
        <v>ROGERIO ALVES FERREIRA</v>
      </c>
      <c r="C1815" s="4" t="str">
        <f>"GUARDA DE SEG. PATRIMONIAL"</f>
        <v>GUARDA DE SEG. PATRIMONIAL</v>
      </c>
      <c r="D1815" s="5">
        <v>600</v>
      </c>
      <c r="E1815" s="4" t="str">
        <f t="shared" si="133"/>
        <v>Funcionário</v>
      </c>
    </row>
    <row r="1816" spans="1:5">
      <c r="A1816" s="4" t="str">
        <f t="shared" si="129"/>
        <v>6</v>
      </c>
      <c r="B1816" s="4" t="str">
        <f>"ROMARIO MOREIRA FAGUNDES"</f>
        <v>ROMARIO MOREIRA FAGUNDES</v>
      </c>
      <c r="C1816" s="4" t="str">
        <f>"ASSTE ADMINIST III"</f>
        <v>ASSTE ADMINIST III</v>
      </c>
      <c r="D1816" s="5">
        <v>600</v>
      </c>
      <c r="E1816" s="4" t="str">
        <f t="shared" si="133"/>
        <v>Funcionário</v>
      </c>
    </row>
    <row r="1817" spans="1:5">
      <c r="A1817" s="4" t="str">
        <f t="shared" si="129"/>
        <v>6</v>
      </c>
      <c r="B1817" s="4" t="str">
        <f>"RONALDO FELIX DA SILVA"</f>
        <v>RONALDO FELIX DA SILVA</v>
      </c>
      <c r="C1817" s="4" t="str">
        <f>"TEC INDUSTRIAL ESPECIALIZADO"</f>
        <v>TEC INDUSTRIAL ESPECIALIZADO</v>
      </c>
      <c r="D1817" s="5">
        <v>600</v>
      </c>
      <c r="E1817" s="4" t="str">
        <f t="shared" si="133"/>
        <v>Funcionário</v>
      </c>
    </row>
    <row r="1818" spans="1:5">
      <c r="A1818" s="4" t="str">
        <f t="shared" si="129"/>
        <v>6</v>
      </c>
      <c r="B1818" s="4" t="str">
        <f>"ROSANA DE FATIMA LIMA"</f>
        <v>ROSANA DE FATIMA LIMA</v>
      </c>
      <c r="C1818" s="4" t="str">
        <f>"OFICIAL DE PRODUCAO INDUSTRIAL"</f>
        <v>OFICIAL DE PRODUCAO INDUSTRIAL</v>
      </c>
      <c r="D1818" s="5">
        <v>600</v>
      </c>
      <c r="E1818" s="4" t="str">
        <f>"Aposentado"</f>
        <v>Aposentado</v>
      </c>
    </row>
    <row r="1819" spans="1:5">
      <c r="A1819" s="4" t="str">
        <f t="shared" si="129"/>
        <v>6</v>
      </c>
      <c r="B1819" s="4" t="str">
        <f>"ROSEL MAGALHAES OLIVEIRA"</f>
        <v>ROSEL MAGALHAES OLIVEIRA</v>
      </c>
      <c r="C1819" s="4" t="str">
        <f>"CHEFE DE DIVISAO I"</f>
        <v>CHEFE DE DIVISAO I</v>
      </c>
      <c r="D1819" s="5">
        <v>601</v>
      </c>
      <c r="E1819" s="4" t="str">
        <f>"Funcionário"</f>
        <v>Funcionário</v>
      </c>
    </row>
    <row r="1820" spans="1:5">
      <c r="A1820" s="4" t="str">
        <f t="shared" si="129"/>
        <v>6</v>
      </c>
      <c r="B1820" s="4" t="str">
        <f>"ROSEMERY PASTI PEREIRA BARBOZA"</f>
        <v>ROSEMERY PASTI PEREIRA BARBOZA</v>
      </c>
      <c r="C1820" s="4" t="str">
        <f>"OFICIAL DE PRODUCAO INDUSTRIAL"</f>
        <v>OFICIAL DE PRODUCAO INDUSTRIAL</v>
      </c>
      <c r="D1820" s="5">
        <v>600</v>
      </c>
      <c r="E1820" s="4" t="str">
        <f>"Funcionário"</f>
        <v>Funcionário</v>
      </c>
    </row>
    <row r="1821" spans="1:5">
      <c r="A1821" s="4" t="str">
        <f t="shared" si="129"/>
        <v>6</v>
      </c>
      <c r="B1821" s="4" t="str">
        <f>"ROSILANGE VEIGA DE SOUZA"</f>
        <v>ROSILANGE VEIGA DE SOUZA</v>
      </c>
      <c r="C1821" s="4" t="str">
        <f>"TELEFONISTA"</f>
        <v>TELEFONISTA</v>
      </c>
      <c r="D1821" s="5">
        <v>600</v>
      </c>
      <c r="E1821" s="4" t="str">
        <f>"Aposentado"</f>
        <v>Aposentado</v>
      </c>
    </row>
    <row r="1822" spans="1:5">
      <c r="A1822" s="4" t="str">
        <f t="shared" si="129"/>
        <v>6</v>
      </c>
      <c r="B1822" s="4" t="str">
        <f>"SAMUEL DE OLIVEIRA DA CRUZ"</f>
        <v>SAMUEL DE OLIVEIRA DA CRUZ</v>
      </c>
      <c r="C1822" s="4" t="str">
        <f>"OFICIAL DE PRODUCAO INDUSTRIAL"</f>
        <v>OFICIAL DE PRODUCAO INDUSTRIAL</v>
      </c>
      <c r="D1822" s="5">
        <v>600</v>
      </c>
      <c r="E1822" s="4" t="str">
        <f>"Funcionário"</f>
        <v>Funcionário</v>
      </c>
    </row>
    <row r="1823" spans="1:5">
      <c r="A1823" s="4" t="str">
        <f t="shared" si="129"/>
        <v>6</v>
      </c>
      <c r="B1823" s="4" t="str">
        <f>"SAMUEL TEODORO DA SILVA"</f>
        <v>SAMUEL TEODORO DA SILVA</v>
      </c>
      <c r="C1823" s="4" t="str">
        <f>"MILITAR DA ATIVA"</f>
        <v>MILITAR DA ATIVA</v>
      </c>
      <c r="D1823" s="5">
        <v>605</v>
      </c>
      <c r="E1823" s="4" t="str">
        <f>"Funcionário"</f>
        <v>Funcionário</v>
      </c>
    </row>
    <row r="1824" spans="1:5">
      <c r="A1824" s="4" t="str">
        <f t="shared" si="129"/>
        <v>6</v>
      </c>
      <c r="B1824" s="4" t="str">
        <f>"SANDRA LUIZA BAPTISTA MARINO"</f>
        <v>SANDRA LUIZA BAPTISTA MARINO</v>
      </c>
      <c r="C1824" s="4" t="str">
        <f>"TEC INDUSTRIAL ESPECIALIZADO"</f>
        <v>TEC INDUSTRIAL ESPECIALIZADO</v>
      </c>
      <c r="D1824" s="5">
        <v>600</v>
      </c>
      <c r="E1824" s="4" t="str">
        <f>"Aposentado"</f>
        <v>Aposentado</v>
      </c>
    </row>
    <row r="1825" spans="1:5">
      <c r="A1825" s="4" t="str">
        <f t="shared" si="129"/>
        <v>6</v>
      </c>
      <c r="B1825" s="4" t="str">
        <f>"SANDRA REGINA GODOY ALVES"</f>
        <v>SANDRA REGINA GODOY ALVES</v>
      </c>
      <c r="C1825" s="4" t="str">
        <f>"OFICIAL DE PRODUCAO INDUSTRIAL"</f>
        <v>OFICIAL DE PRODUCAO INDUSTRIAL</v>
      </c>
      <c r="D1825" s="5">
        <v>600</v>
      </c>
      <c r="E1825" s="4" t="str">
        <f>"Funcionário"</f>
        <v>Funcionário</v>
      </c>
    </row>
    <row r="1826" spans="1:5">
      <c r="A1826" s="4" t="str">
        <f t="shared" ref="A1826:A1863" si="134">"6"</f>
        <v>6</v>
      </c>
      <c r="B1826" s="4" t="str">
        <f>"SCHARLES SOUZA DE ALCANTARA"</f>
        <v>SCHARLES SOUZA DE ALCANTARA</v>
      </c>
      <c r="C1826" s="4" t="str">
        <f>"OFICIAL DE PRODUCAO INDUSTRIAL"</f>
        <v>OFICIAL DE PRODUCAO INDUSTRIAL</v>
      </c>
      <c r="D1826" s="5">
        <v>600</v>
      </c>
      <c r="E1826" s="4" t="str">
        <f>"Funcionário"</f>
        <v>Funcionário</v>
      </c>
    </row>
    <row r="1827" spans="1:5">
      <c r="A1827" s="4" t="str">
        <f t="shared" si="134"/>
        <v>6</v>
      </c>
      <c r="B1827" s="4" t="str">
        <f>"SEBASTIAO DA LUZ ARRUDA"</f>
        <v>SEBASTIAO DA LUZ ARRUDA</v>
      </c>
      <c r="C1827" s="4" t="str">
        <f>"AUXILIAR TECNICO INDUSTRIAL"</f>
        <v>AUXILIAR TECNICO INDUSTRIAL</v>
      </c>
      <c r="D1827" s="5">
        <v>600</v>
      </c>
      <c r="E1827" s="4" t="str">
        <f>"Funcionário"</f>
        <v>Funcionário</v>
      </c>
    </row>
    <row r="1828" spans="1:5">
      <c r="A1828" s="4" t="str">
        <f t="shared" si="134"/>
        <v>6</v>
      </c>
      <c r="B1828" s="4" t="str">
        <f>"SEBASTIAO EMIDIO PINHEIRO"</f>
        <v>SEBASTIAO EMIDIO PINHEIRO</v>
      </c>
      <c r="C1828" s="4" t="str">
        <f>"BOMBEIRO III"</f>
        <v>BOMBEIRO III</v>
      </c>
      <c r="D1828" s="5">
        <v>600</v>
      </c>
      <c r="E1828" s="4" t="str">
        <f>"Funcionário"</f>
        <v>Funcionário</v>
      </c>
    </row>
    <row r="1829" spans="1:5">
      <c r="A1829" s="4" t="str">
        <f t="shared" si="134"/>
        <v>6</v>
      </c>
      <c r="B1829" s="4" t="str">
        <f>"SERGIO FERREIRA TORRES"</f>
        <v>SERGIO FERREIRA TORRES</v>
      </c>
      <c r="C1829" s="4" t="str">
        <f>"ESPECIALISTA"</f>
        <v>ESPECIALISTA</v>
      </c>
      <c r="D1829" s="5">
        <v>600</v>
      </c>
      <c r="E1829" s="4" t="str">
        <f>"Aposentado"</f>
        <v>Aposentado</v>
      </c>
    </row>
    <row r="1830" spans="1:5">
      <c r="A1830" s="4" t="str">
        <f t="shared" si="134"/>
        <v>6</v>
      </c>
      <c r="B1830" s="4" t="str">
        <f>"SERGIO RICARDO CORREA"</f>
        <v>SERGIO RICARDO CORREA</v>
      </c>
      <c r="C1830" s="4" t="str">
        <f>"OFICIAL DE PRODUCAO INDUSTRIAL"</f>
        <v>OFICIAL DE PRODUCAO INDUSTRIAL</v>
      </c>
      <c r="D1830" s="5">
        <v>600</v>
      </c>
      <c r="E1830" s="4" t="str">
        <f>"Aposentado"</f>
        <v>Aposentado</v>
      </c>
    </row>
    <row r="1831" spans="1:5">
      <c r="A1831" s="4" t="str">
        <f t="shared" si="134"/>
        <v>6</v>
      </c>
      <c r="B1831" s="4" t="str">
        <f>"SERGIO ROBERTO MARIA"</f>
        <v>SERGIO ROBERTO MARIA</v>
      </c>
      <c r="C1831" s="4" t="str">
        <f>"OFICIAL DE PRODUCAO INDUSTRIAL"</f>
        <v>OFICIAL DE PRODUCAO INDUSTRIAL</v>
      </c>
      <c r="D1831" s="5">
        <v>600</v>
      </c>
      <c r="E1831" s="4" t="str">
        <f>"Aposentado"</f>
        <v>Aposentado</v>
      </c>
    </row>
    <row r="1832" spans="1:5">
      <c r="A1832" s="4" t="str">
        <f t="shared" si="134"/>
        <v>6</v>
      </c>
      <c r="B1832" s="4" t="str">
        <f>"SHIRLEI THEOPHILO DOS SANTOS"</f>
        <v>SHIRLEI THEOPHILO DOS SANTOS</v>
      </c>
      <c r="C1832" s="4" t="str">
        <f>"OFICIAL DE PRODUCAO INDUSTRIAL"</f>
        <v>OFICIAL DE PRODUCAO INDUSTRIAL</v>
      </c>
      <c r="D1832" s="5">
        <v>600</v>
      </c>
      <c r="E1832" s="4" t="str">
        <f t="shared" ref="E1832:E1838" si="135">"Funcionário"</f>
        <v>Funcionário</v>
      </c>
    </row>
    <row r="1833" spans="1:5">
      <c r="A1833" s="4" t="str">
        <f t="shared" si="134"/>
        <v>6</v>
      </c>
      <c r="B1833" s="4" t="str">
        <f>"SIDINEY JOSÉ HENRIQUE"</f>
        <v>SIDINEY JOSÉ HENRIQUE</v>
      </c>
      <c r="C1833" s="4" t="str">
        <f>"ESPECIALISTA"</f>
        <v>ESPECIALISTA</v>
      </c>
      <c r="D1833" s="5">
        <v>600</v>
      </c>
      <c r="E1833" s="4" t="str">
        <f t="shared" si="135"/>
        <v>Funcionário</v>
      </c>
    </row>
    <row r="1834" spans="1:5">
      <c r="A1834" s="4" t="str">
        <f t="shared" si="134"/>
        <v>6</v>
      </c>
      <c r="B1834" s="4" t="str">
        <f>"SILLER DE OLIVEIRA HONSE"</f>
        <v>SILLER DE OLIVEIRA HONSE</v>
      </c>
      <c r="C1834" s="4" t="str">
        <f>"ENGENHEIRO"</f>
        <v>ENGENHEIRO</v>
      </c>
      <c r="D1834" s="5">
        <v>600</v>
      </c>
      <c r="E1834" s="4" t="str">
        <f t="shared" si="135"/>
        <v>Funcionário</v>
      </c>
    </row>
    <row r="1835" spans="1:5">
      <c r="A1835" s="4" t="str">
        <f t="shared" si="134"/>
        <v>6</v>
      </c>
      <c r="B1835" s="4" t="str">
        <f>"SILVIA CAMILLO DA SILVA JORGE"</f>
        <v>SILVIA CAMILLO DA SILVA JORGE</v>
      </c>
      <c r="C1835" s="4" t="str">
        <f>"AGENTE DE APOIO OPERACIONAL"</f>
        <v>AGENTE DE APOIO OPERACIONAL</v>
      </c>
      <c r="D1835" s="5">
        <v>600</v>
      </c>
      <c r="E1835" s="4" t="str">
        <f t="shared" si="135"/>
        <v>Funcionário</v>
      </c>
    </row>
    <row r="1836" spans="1:5">
      <c r="A1836" s="4" t="str">
        <f t="shared" si="134"/>
        <v>6</v>
      </c>
      <c r="B1836" s="4" t="str">
        <f>"SONIA MARIA DA SILVA"</f>
        <v>SONIA MARIA DA SILVA</v>
      </c>
      <c r="C1836" s="4" t="str">
        <f>"OPER PRODUCAO III"</f>
        <v>OPER PRODUCAO III</v>
      </c>
      <c r="D1836" s="5">
        <v>600</v>
      </c>
      <c r="E1836" s="4" t="str">
        <f t="shared" si="135"/>
        <v>Funcionário</v>
      </c>
    </row>
    <row r="1837" spans="1:5">
      <c r="A1837" s="4" t="str">
        <f t="shared" si="134"/>
        <v>6</v>
      </c>
      <c r="B1837" s="4" t="str">
        <f>"SONIA MARIA DO NASCIMENTO"</f>
        <v>SONIA MARIA DO NASCIMENTO</v>
      </c>
      <c r="C1837" s="4" t="str">
        <f>"AGENTE DE APOIO OPERACIONAL"</f>
        <v>AGENTE DE APOIO OPERACIONAL</v>
      </c>
      <c r="D1837" s="5">
        <v>600</v>
      </c>
      <c r="E1837" s="4" t="str">
        <f t="shared" si="135"/>
        <v>Funcionário</v>
      </c>
    </row>
    <row r="1838" spans="1:5">
      <c r="A1838" s="4" t="str">
        <f t="shared" si="134"/>
        <v>6</v>
      </c>
      <c r="B1838" s="4" t="str">
        <f>"SONIA MARIA EZIDORO"</f>
        <v>SONIA MARIA EZIDORO</v>
      </c>
      <c r="C1838" s="4" t="str">
        <f>"OPER PRODUCAO III"</f>
        <v>OPER PRODUCAO III</v>
      </c>
      <c r="D1838" s="5">
        <v>600</v>
      </c>
      <c r="E1838" s="4" t="str">
        <f t="shared" si="135"/>
        <v>Funcionário</v>
      </c>
    </row>
    <row r="1839" spans="1:5">
      <c r="A1839" s="4" t="str">
        <f t="shared" si="134"/>
        <v>6</v>
      </c>
      <c r="B1839" s="4" t="str">
        <f>"TAINÁ SOUZA AMARAL"</f>
        <v>TAINÁ SOUZA AMARAL</v>
      </c>
      <c r="C1839" s="4" t="str">
        <f>"APRENDIZ- ADMINISTRATIVO"</f>
        <v>APRENDIZ- ADMINISTRATIVO</v>
      </c>
      <c r="D1839" s="5">
        <v>603</v>
      </c>
      <c r="E1839" s="4" t="str">
        <f>"Aprendiz"</f>
        <v>Aprendiz</v>
      </c>
    </row>
    <row r="1840" spans="1:5">
      <c r="A1840" s="4" t="str">
        <f t="shared" si="134"/>
        <v>6</v>
      </c>
      <c r="B1840" s="4" t="str">
        <f>"TANIA REGINA FERREIRA"</f>
        <v>TANIA REGINA FERREIRA</v>
      </c>
      <c r="C1840" s="4" t="str">
        <f>"OPER PRODUCAO III"</f>
        <v>OPER PRODUCAO III</v>
      </c>
      <c r="D1840" s="5">
        <v>600</v>
      </c>
      <c r="E1840" s="4" t="str">
        <f t="shared" ref="E1840:E1845" si="136">"Funcionário"</f>
        <v>Funcionário</v>
      </c>
    </row>
    <row r="1841" spans="1:5">
      <c r="A1841" s="4" t="str">
        <f t="shared" si="134"/>
        <v>6</v>
      </c>
      <c r="B1841" s="4" t="str">
        <f>"TELMA DA SILVA CORREA"</f>
        <v>TELMA DA SILVA CORREA</v>
      </c>
      <c r="C1841" s="4" t="str">
        <f>"AGENTE DE APOIO OPERACIONAL"</f>
        <v>AGENTE DE APOIO OPERACIONAL</v>
      </c>
      <c r="D1841" s="5">
        <v>600</v>
      </c>
      <c r="E1841" s="4" t="str">
        <f t="shared" si="136"/>
        <v>Funcionário</v>
      </c>
    </row>
    <row r="1842" spans="1:5">
      <c r="A1842" s="4" t="str">
        <f t="shared" si="134"/>
        <v>6</v>
      </c>
      <c r="B1842" s="4" t="str">
        <f>"THAIS ALVES DA PENHA"</f>
        <v>THAIS ALVES DA PENHA</v>
      </c>
      <c r="C1842" s="4" t="str">
        <f>"ANALISTA ESPECIALIZADO"</f>
        <v>ANALISTA ESPECIALIZADO</v>
      </c>
      <c r="D1842" s="5">
        <v>600</v>
      </c>
      <c r="E1842" s="4" t="str">
        <f t="shared" si="136"/>
        <v>Funcionário</v>
      </c>
    </row>
    <row r="1843" spans="1:5">
      <c r="A1843" s="4" t="str">
        <f t="shared" si="134"/>
        <v>6</v>
      </c>
      <c r="B1843" s="4" t="str">
        <f>"THAMYRES DE SOUZA COUTO SIMÕES"</f>
        <v>THAMYRES DE SOUZA COUTO SIMÕES</v>
      </c>
      <c r="C1843" s="4" t="str">
        <f>"OFICIAL DE PRODUCAO INDUSTRIAL"</f>
        <v>OFICIAL DE PRODUCAO INDUSTRIAL</v>
      </c>
      <c r="D1843" s="5">
        <v>600</v>
      </c>
      <c r="E1843" s="4" t="str">
        <f t="shared" si="136"/>
        <v>Funcionário</v>
      </c>
    </row>
    <row r="1844" spans="1:5">
      <c r="A1844" s="4" t="str">
        <f t="shared" si="134"/>
        <v>6</v>
      </c>
      <c r="B1844" s="4" t="str">
        <f>"UENDELL RODRIGO DA SILVA"</f>
        <v>UENDELL RODRIGO DA SILVA</v>
      </c>
      <c r="C1844" s="4" t="str">
        <f>"OFICIAL DE PRODUCAO INDUSTRIAL"</f>
        <v>OFICIAL DE PRODUCAO INDUSTRIAL</v>
      </c>
      <c r="D1844" s="5">
        <v>600</v>
      </c>
      <c r="E1844" s="4" t="str">
        <f t="shared" si="136"/>
        <v>Funcionário</v>
      </c>
    </row>
    <row r="1845" spans="1:5">
      <c r="A1845" s="4" t="str">
        <f t="shared" si="134"/>
        <v>6</v>
      </c>
      <c r="B1845" s="4" t="str">
        <f>"ULISSES FREITAS DE SOUZA"</f>
        <v>ULISSES FREITAS DE SOUZA</v>
      </c>
      <c r="C1845" s="4" t="str">
        <f>"AUXILIAR TECNICO INDUSTRIAL"</f>
        <v>AUXILIAR TECNICO INDUSTRIAL</v>
      </c>
      <c r="D1845" s="5">
        <v>600</v>
      </c>
      <c r="E1845" s="4" t="str">
        <f t="shared" si="136"/>
        <v>Funcionário</v>
      </c>
    </row>
    <row r="1846" spans="1:5">
      <c r="A1846" s="4" t="str">
        <f t="shared" si="134"/>
        <v>6</v>
      </c>
      <c r="B1846" s="4" t="str">
        <f>"UMBERTO FERREIRA DA SILVA"</f>
        <v>UMBERTO FERREIRA DA SILVA</v>
      </c>
      <c r="C1846" s="4" t="str">
        <f>"OFICIAL DE PRODUCAO INDUSTRIAL"</f>
        <v>OFICIAL DE PRODUCAO INDUSTRIAL</v>
      </c>
      <c r="D1846" s="5">
        <v>600</v>
      </c>
      <c r="E1846" s="4" t="str">
        <f>"Aposentado"</f>
        <v>Aposentado</v>
      </c>
    </row>
    <row r="1847" spans="1:5">
      <c r="A1847" s="4" t="str">
        <f t="shared" si="134"/>
        <v>6</v>
      </c>
      <c r="B1847" s="4" t="str">
        <f>"VALMIR MANOEL DA COSTA"</f>
        <v>VALMIR MANOEL DA COSTA</v>
      </c>
      <c r="C1847" s="4" t="str">
        <f>"OFICIAL DE PRODUCAO INDUSTRIAL"</f>
        <v>OFICIAL DE PRODUCAO INDUSTRIAL</v>
      </c>
      <c r="D1847" s="5">
        <v>600</v>
      </c>
      <c r="E1847" s="4" t="str">
        <f>"Aposentado"</f>
        <v>Aposentado</v>
      </c>
    </row>
    <row r="1848" spans="1:5">
      <c r="A1848" s="4" t="str">
        <f t="shared" si="134"/>
        <v>6</v>
      </c>
      <c r="B1848" s="4" t="str">
        <f>"VANESSA CAMPOS DA SILVA"</f>
        <v>VANESSA CAMPOS DA SILVA</v>
      </c>
      <c r="C1848" s="4" t="str">
        <f>"BOMBEIRO CIVIL"</f>
        <v>BOMBEIRO CIVIL</v>
      </c>
      <c r="D1848" s="5">
        <v>600</v>
      </c>
      <c r="E1848" s="4" t="str">
        <f>"Funcionário"</f>
        <v>Funcionário</v>
      </c>
    </row>
    <row r="1849" spans="1:5">
      <c r="A1849" s="4" t="str">
        <f t="shared" si="134"/>
        <v>6</v>
      </c>
      <c r="B1849" s="4" t="str">
        <f>"VANESSA DE SOUZA LIMA"</f>
        <v>VANESSA DE SOUZA LIMA</v>
      </c>
      <c r="C1849" s="4" t="str">
        <f>"ANALISTA ESPECIALIZADO"</f>
        <v>ANALISTA ESPECIALIZADO</v>
      </c>
      <c r="D1849" s="5">
        <v>600</v>
      </c>
      <c r="E1849" s="4" t="str">
        <f>"Funcionário"</f>
        <v>Funcionário</v>
      </c>
    </row>
    <row r="1850" spans="1:5">
      <c r="A1850" s="4" t="str">
        <f t="shared" si="134"/>
        <v>6</v>
      </c>
      <c r="B1850" s="4" t="str">
        <f>"VANESSA DOS ANJOS PEÇANHA"</f>
        <v>VANESSA DOS ANJOS PEÇANHA</v>
      </c>
      <c r="C1850" s="4" t="str">
        <f>"AGENTE DE APOIO OPERACIONAL"</f>
        <v>AGENTE DE APOIO OPERACIONAL</v>
      </c>
      <c r="D1850" s="5">
        <v>600</v>
      </c>
      <c r="E1850" s="4" t="str">
        <f>"Funcionário"</f>
        <v>Funcionário</v>
      </c>
    </row>
    <row r="1851" spans="1:5">
      <c r="A1851" s="4" t="str">
        <f t="shared" si="134"/>
        <v>6</v>
      </c>
      <c r="B1851" s="4" t="str">
        <f>"VANIA BRANDO DE ALMEIDA"</f>
        <v>VANIA BRANDO DE ALMEIDA</v>
      </c>
      <c r="C1851" s="4" t="str">
        <f>"OFICIAL DE PRODUCAO INDUSTRIAL"</f>
        <v>OFICIAL DE PRODUCAO INDUSTRIAL</v>
      </c>
      <c r="D1851" s="5">
        <v>600</v>
      </c>
      <c r="E1851" s="4" t="str">
        <f>"Aposentado"</f>
        <v>Aposentado</v>
      </c>
    </row>
    <row r="1852" spans="1:5">
      <c r="A1852" s="4" t="str">
        <f t="shared" si="134"/>
        <v>6</v>
      </c>
      <c r="B1852" s="4" t="str">
        <f>"VANTUIL DOS SANTOS"</f>
        <v>VANTUIL DOS SANTOS</v>
      </c>
      <c r="C1852" s="4" t="str">
        <f>"AUXILIAR TECNICO INDUSTRIAL"</f>
        <v>AUXILIAR TECNICO INDUSTRIAL</v>
      </c>
      <c r="D1852" s="5">
        <v>600</v>
      </c>
      <c r="E1852" s="4" t="str">
        <f>"Aposentado"</f>
        <v>Aposentado</v>
      </c>
    </row>
    <row r="1853" spans="1:5">
      <c r="A1853" s="4" t="str">
        <f t="shared" si="134"/>
        <v>6</v>
      </c>
      <c r="B1853" s="4" t="str">
        <f>"VERA LUCIA DA SILVA DOS SANTOS"</f>
        <v>VERA LUCIA DA SILVA DOS SANTOS</v>
      </c>
      <c r="C1853" s="4" t="str">
        <f>"AUX TECNICO ADMINISTRATIVO"</f>
        <v>AUX TECNICO ADMINISTRATIVO</v>
      </c>
      <c r="D1853" s="5">
        <v>600</v>
      </c>
      <c r="E1853" s="4" t="str">
        <f>"Aposentado"</f>
        <v>Aposentado</v>
      </c>
    </row>
    <row r="1854" spans="1:5">
      <c r="A1854" s="4" t="str">
        <f t="shared" si="134"/>
        <v>6</v>
      </c>
      <c r="B1854" s="4" t="str">
        <f>"VERA LUCIA PONTES TEIXEIRA"</f>
        <v>VERA LUCIA PONTES TEIXEIRA</v>
      </c>
      <c r="C1854" s="4" t="str">
        <f>"OFICIAL DE PRODUCAO INDUSTRIAL"</f>
        <v>OFICIAL DE PRODUCAO INDUSTRIAL</v>
      </c>
      <c r="D1854" s="5">
        <v>600</v>
      </c>
      <c r="E1854" s="4" t="str">
        <f>"Aposentado"</f>
        <v>Aposentado</v>
      </c>
    </row>
    <row r="1855" spans="1:5">
      <c r="A1855" s="4" t="str">
        <f t="shared" si="134"/>
        <v>6</v>
      </c>
      <c r="B1855" s="4" t="str">
        <f>"VICTOR GUARINO AMORIM CATALDO"</f>
        <v>VICTOR GUARINO AMORIM CATALDO</v>
      </c>
      <c r="C1855" s="4" t="str">
        <f>"OFICIAL DE PRODUCAO INDUSTRIAL"</f>
        <v>OFICIAL DE PRODUCAO INDUSTRIAL</v>
      </c>
      <c r="D1855" s="5">
        <v>600</v>
      </c>
      <c r="E1855" s="4" t="str">
        <f t="shared" ref="E1855:E1863" si="137">"Funcionário"</f>
        <v>Funcionário</v>
      </c>
    </row>
    <row r="1856" spans="1:5">
      <c r="A1856" s="4" t="str">
        <f t="shared" si="134"/>
        <v>6</v>
      </c>
      <c r="B1856" s="4" t="str">
        <f>"VICTOR HUGO BELO LIMA"</f>
        <v>VICTOR HUGO BELO LIMA</v>
      </c>
      <c r="C1856" s="4" t="str">
        <f>"TEC INDUSTRIAL ESPECIALIZADO"</f>
        <v>TEC INDUSTRIAL ESPECIALIZADO</v>
      </c>
      <c r="D1856" s="5">
        <v>600</v>
      </c>
      <c r="E1856" s="4" t="str">
        <f t="shared" si="137"/>
        <v>Funcionário</v>
      </c>
    </row>
    <row r="1857" spans="1:5">
      <c r="A1857" s="4" t="str">
        <f t="shared" si="134"/>
        <v>6</v>
      </c>
      <c r="B1857" s="4" t="str">
        <f>"VICTOR HUGO SILVA PEÇANHA"</f>
        <v>VICTOR HUGO SILVA PEÇANHA</v>
      </c>
      <c r="C1857" s="4" t="str">
        <f>"OFICIAL DE PRODUCAO INDUSTRIAL"</f>
        <v>OFICIAL DE PRODUCAO INDUSTRIAL</v>
      </c>
      <c r="D1857" s="5">
        <v>600</v>
      </c>
      <c r="E1857" s="4" t="str">
        <f t="shared" si="137"/>
        <v>Funcionário</v>
      </c>
    </row>
    <row r="1858" spans="1:5">
      <c r="A1858" s="4" t="str">
        <f t="shared" si="134"/>
        <v>6</v>
      </c>
      <c r="B1858" s="4" t="str">
        <f>"VICTOR HUGO TAVARES MEDEIROS"</f>
        <v>VICTOR HUGO TAVARES MEDEIROS</v>
      </c>
      <c r="C1858" s="4" t="str">
        <f>"OFICIAL DE PRODUCAO INDUSTRIAL"</f>
        <v>OFICIAL DE PRODUCAO INDUSTRIAL</v>
      </c>
      <c r="D1858" s="5">
        <v>600</v>
      </c>
      <c r="E1858" s="4" t="str">
        <f t="shared" si="137"/>
        <v>Funcionário</v>
      </c>
    </row>
    <row r="1859" spans="1:5">
      <c r="A1859" s="4" t="str">
        <f t="shared" si="134"/>
        <v>6</v>
      </c>
      <c r="B1859" s="4" t="str">
        <f>"VILDOMAR SUZANO DE SIQUEIRA"</f>
        <v>VILDOMAR SUZANO DE SIQUEIRA</v>
      </c>
      <c r="C1859" s="4" t="str">
        <f>"OFICIAL DE PRODUCAO INDUSTRIAL"</f>
        <v>OFICIAL DE PRODUCAO INDUSTRIAL</v>
      </c>
      <c r="D1859" s="5">
        <v>600</v>
      </c>
      <c r="E1859" s="4" t="str">
        <f t="shared" si="137"/>
        <v>Funcionário</v>
      </c>
    </row>
    <row r="1860" spans="1:5">
      <c r="A1860" s="4" t="str">
        <f t="shared" si="134"/>
        <v>6</v>
      </c>
      <c r="B1860" s="4" t="str">
        <f>"VINICIUS SANCHES DE AQUINO"</f>
        <v>VINICIUS SANCHES DE AQUINO</v>
      </c>
      <c r="C1860" s="4" t="str">
        <f>"AUX TECNICO ADMINISTRATIVO"</f>
        <v>AUX TECNICO ADMINISTRATIVO</v>
      </c>
      <c r="D1860" s="5">
        <v>600</v>
      </c>
      <c r="E1860" s="4" t="str">
        <f t="shared" si="137"/>
        <v>Funcionário</v>
      </c>
    </row>
    <row r="1861" spans="1:5">
      <c r="A1861" s="4" t="str">
        <f t="shared" si="134"/>
        <v>6</v>
      </c>
      <c r="B1861" s="4" t="str">
        <f>"VITOR MELO DE CASTRO"</f>
        <v>VITOR MELO DE CASTRO</v>
      </c>
      <c r="C1861" s="4" t="str">
        <f>"ENGENHEIRO"</f>
        <v>ENGENHEIRO</v>
      </c>
      <c r="D1861" s="5">
        <v>600</v>
      </c>
      <c r="E1861" s="4" t="str">
        <f t="shared" si="137"/>
        <v>Funcionário</v>
      </c>
    </row>
    <row r="1862" spans="1:5">
      <c r="A1862" s="4" t="str">
        <f t="shared" si="134"/>
        <v>6</v>
      </c>
      <c r="B1862" s="4" t="str">
        <f>"WILLIAN CESAR DA SILVA"</f>
        <v>WILLIAN CESAR DA SILVA</v>
      </c>
      <c r="C1862" s="4" t="str">
        <f>"TECNICO ADM ESPECIALIZADO"</f>
        <v>TECNICO ADM ESPECIALIZADO</v>
      </c>
      <c r="D1862" s="5">
        <v>600</v>
      </c>
      <c r="E1862" s="4" t="str">
        <f t="shared" si="137"/>
        <v>Funcionário</v>
      </c>
    </row>
    <row r="1863" spans="1:5">
      <c r="A1863" s="4" t="str">
        <f t="shared" si="134"/>
        <v>6</v>
      </c>
      <c r="B1863" s="4" t="str">
        <f>"YAGO VIEIRA DA SILVA"</f>
        <v>YAGO VIEIRA DA SILVA</v>
      </c>
      <c r="C1863" s="4" t="str">
        <f>"TEC INDUSTRIAL ESPECIALIZADO"</f>
        <v>TEC INDUSTRIAL ESPECIALIZADO</v>
      </c>
      <c r="D1863" s="5">
        <v>600</v>
      </c>
      <c r="E1863" s="4" t="str">
        <f t="shared" si="137"/>
        <v>Funcionário</v>
      </c>
    </row>
    <row r="1864" spans="1:5">
      <c r="A1864" s="4" t="str">
        <f t="shared" ref="A1864:A1895" si="138">"9"</f>
        <v>9</v>
      </c>
      <c r="B1864" s="4" t="str">
        <f>"ACHILLES FURLAN NETO"</f>
        <v>ACHILLES FURLAN NETO</v>
      </c>
      <c r="C1864" s="4" t="str">
        <f>"MEMBRO DO CONSELHO ADM/FISCAL"</f>
        <v>MEMBRO DO CONSELHO ADM/FISCAL</v>
      </c>
      <c r="D1864" s="5">
        <v>916</v>
      </c>
      <c r="E1864" s="4" t="str">
        <f>"Empregador"</f>
        <v>Empregador</v>
      </c>
    </row>
    <row r="1865" spans="1:5">
      <c r="A1865" s="4" t="str">
        <f t="shared" si="138"/>
        <v>9</v>
      </c>
      <c r="B1865" s="4" t="str">
        <f>"ADEMIR RIBEIRO SILVA"</f>
        <v>ADEMIR RIBEIRO SILVA</v>
      </c>
      <c r="C1865" s="4" t="str">
        <f>"MEMBRO DO COMITÊ DE AUDITORIA"</f>
        <v>MEMBRO DO COMITÊ DE AUDITORIA</v>
      </c>
      <c r="D1865" s="5">
        <v>916</v>
      </c>
      <c r="E1865" s="4" t="str">
        <f>"Empregador"</f>
        <v>Empregador</v>
      </c>
    </row>
    <row r="1866" spans="1:5">
      <c r="A1866" s="4" t="str">
        <f t="shared" si="138"/>
        <v>9</v>
      </c>
      <c r="B1866" s="4" t="str">
        <f>"ADRIANA SANTOS LUZ"</f>
        <v>ADRIANA SANTOS LUZ</v>
      </c>
      <c r="C1866" s="4" t="str">
        <f>"ESPECIALISTA"</f>
        <v>ESPECIALISTA</v>
      </c>
      <c r="D1866" s="5">
        <v>900</v>
      </c>
      <c r="E1866" s="4" t="str">
        <f t="shared" ref="E1866:E1882" si="139">"Funcionário"</f>
        <v>Funcionário</v>
      </c>
    </row>
    <row r="1867" spans="1:5">
      <c r="A1867" s="4" t="str">
        <f t="shared" si="138"/>
        <v>9</v>
      </c>
      <c r="B1867" s="4" t="str">
        <f>"ALAIDE VALERIO DA SILVA RIPARDO"</f>
        <v>ALAIDE VALERIO DA SILVA RIPARDO</v>
      </c>
      <c r="C1867" s="4" t="str">
        <f>"AUX TECNICO ADMINISTRATIVO"</f>
        <v>AUX TECNICO ADMINISTRATIVO</v>
      </c>
      <c r="D1867" s="5">
        <v>910</v>
      </c>
      <c r="E1867" s="4" t="str">
        <f t="shared" si="139"/>
        <v>Funcionário</v>
      </c>
    </row>
    <row r="1868" spans="1:5">
      <c r="A1868" s="4" t="str">
        <f t="shared" si="138"/>
        <v>9</v>
      </c>
      <c r="B1868" s="4" t="str">
        <f>"ALDO RENÊ OLIVEIRA DA SILVA"</f>
        <v>ALDO RENÊ OLIVEIRA DA SILVA</v>
      </c>
      <c r="C1868" s="4" t="str">
        <f>"MILITAR DA ATIVA"</f>
        <v>MILITAR DA ATIVA</v>
      </c>
      <c r="D1868" s="5">
        <v>906</v>
      </c>
      <c r="E1868" s="4" t="str">
        <f t="shared" si="139"/>
        <v>Funcionário</v>
      </c>
    </row>
    <row r="1869" spans="1:5">
      <c r="A1869" s="4" t="str">
        <f t="shared" si="138"/>
        <v>9</v>
      </c>
      <c r="B1869" s="4" t="str">
        <f>"ALESSANDRA LAUAR LOSCHI"</f>
        <v>ALESSANDRA LAUAR LOSCHI</v>
      </c>
      <c r="C1869" s="4" t="str">
        <f>"AUX TECNICO ADMINISTRATIVO"</f>
        <v>AUX TECNICO ADMINISTRATIVO</v>
      </c>
      <c r="D1869" s="5">
        <v>900</v>
      </c>
      <c r="E1869" s="4" t="str">
        <f t="shared" si="139"/>
        <v>Funcionário</v>
      </c>
    </row>
    <row r="1870" spans="1:5">
      <c r="A1870" s="4" t="str">
        <f t="shared" si="138"/>
        <v>9</v>
      </c>
      <c r="B1870" s="4" t="str">
        <f>"ALEXANDRE BARRETO DA SILVA"</f>
        <v>ALEXANDRE BARRETO DA SILVA</v>
      </c>
      <c r="C1870" s="4" t="str">
        <f>"MILITAR DA ATIVA"</f>
        <v>MILITAR DA ATIVA</v>
      </c>
      <c r="D1870" s="5">
        <v>906</v>
      </c>
      <c r="E1870" s="4" t="str">
        <f t="shared" si="139"/>
        <v>Funcionário</v>
      </c>
    </row>
    <row r="1871" spans="1:5">
      <c r="A1871" s="4" t="str">
        <f t="shared" si="138"/>
        <v>9</v>
      </c>
      <c r="B1871" s="4" t="str">
        <f>"ALEXANDRE OLIVEIRA SILVA"</f>
        <v>ALEXANDRE OLIVEIRA SILVA</v>
      </c>
      <c r="C1871" s="4" t="str">
        <f>"ASSESSOR II"</f>
        <v>ASSESSOR II</v>
      </c>
      <c r="D1871" s="5">
        <v>901</v>
      </c>
      <c r="E1871" s="4" t="str">
        <f t="shared" si="139"/>
        <v>Funcionário</v>
      </c>
    </row>
    <row r="1872" spans="1:5">
      <c r="A1872" s="4" t="str">
        <f t="shared" si="138"/>
        <v>9</v>
      </c>
      <c r="B1872" s="4" t="str">
        <f>"ALFREDO DIAS DE OLIVEIRA JUNIOR"</f>
        <v>ALFREDO DIAS DE OLIVEIRA JUNIOR</v>
      </c>
      <c r="C1872" s="4" t="str">
        <f>"MILITAR DA ATIVA"</f>
        <v>MILITAR DA ATIVA</v>
      </c>
      <c r="D1872" s="5">
        <v>906</v>
      </c>
      <c r="E1872" s="4" t="str">
        <f t="shared" si="139"/>
        <v>Funcionário</v>
      </c>
    </row>
    <row r="1873" spans="1:5">
      <c r="A1873" s="4" t="str">
        <f t="shared" si="138"/>
        <v>9</v>
      </c>
      <c r="B1873" s="4" t="str">
        <f>"ALINE CASSIA BARBOSA"</f>
        <v>ALINE CASSIA BARBOSA</v>
      </c>
      <c r="C1873" s="4" t="str">
        <f>"ESPECIALISTA"</f>
        <v>ESPECIALISTA</v>
      </c>
      <c r="D1873" s="5">
        <v>900</v>
      </c>
      <c r="E1873" s="4" t="str">
        <f t="shared" si="139"/>
        <v>Funcionário</v>
      </c>
    </row>
    <row r="1874" spans="1:5">
      <c r="A1874" s="4" t="str">
        <f t="shared" si="138"/>
        <v>9</v>
      </c>
      <c r="B1874" s="4" t="str">
        <f>"ALINE CRISTINA DE FARIA POMPEU"</f>
        <v>ALINE CRISTINA DE FARIA POMPEU</v>
      </c>
      <c r="C1874" s="4" t="str">
        <f>"ESPECIALISTA"</f>
        <v>ESPECIALISTA</v>
      </c>
      <c r="D1874" s="5">
        <v>900</v>
      </c>
      <c r="E1874" s="4" t="str">
        <f t="shared" si="139"/>
        <v>Funcionário</v>
      </c>
    </row>
    <row r="1875" spans="1:5">
      <c r="A1875" s="4" t="str">
        <f t="shared" si="138"/>
        <v>9</v>
      </c>
      <c r="B1875" s="4" t="str">
        <f>"ALVARO KOJI IMAI"</f>
        <v>ALVARO KOJI IMAI</v>
      </c>
      <c r="C1875" s="4" t="str">
        <f>"CHEFE DE DEPARTAMENTO I"</f>
        <v>CHEFE DE DEPARTAMENTO I</v>
      </c>
      <c r="D1875" s="5">
        <v>901</v>
      </c>
      <c r="E1875" s="4" t="str">
        <f t="shared" si="139"/>
        <v>Funcionário</v>
      </c>
    </row>
    <row r="1876" spans="1:5">
      <c r="A1876" s="4" t="str">
        <f t="shared" si="138"/>
        <v>9</v>
      </c>
      <c r="B1876" s="4" t="str">
        <f>"ALVARO PLACIDO CRUZ FERREIRA LIMA"</f>
        <v>ALVARO PLACIDO CRUZ FERREIRA LIMA</v>
      </c>
      <c r="C1876" s="4" t="str">
        <f>"CHEFE DE DEPARTAMENTO I"</f>
        <v>CHEFE DE DEPARTAMENTO I</v>
      </c>
      <c r="D1876" s="5">
        <v>901</v>
      </c>
      <c r="E1876" s="4" t="str">
        <f t="shared" si="139"/>
        <v>Funcionário</v>
      </c>
    </row>
    <row r="1877" spans="1:5">
      <c r="A1877" s="4" t="str">
        <f t="shared" si="138"/>
        <v>9</v>
      </c>
      <c r="B1877" s="4" t="str">
        <f>"AMARILDA BATISTA RIBEIRO"</f>
        <v>AMARILDA BATISTA RIBEIRO</v>
      </c>
      <c r="C1877" s="4" t="str">
        <f>"OFICIAL DE PRODUCAO INDUSTRIAL"</f>
        <v>OFICIAL DE PRODUCAO INDUSTRIAL</v>
      </c>
      <c r="D1877" s="5">
        <v>900</v>
      </c>
      <c r="E1877" s="4" t="str">
        <f t="shared" si="139"/>
        <v>Funcionário</v>
      </c>
    </row>
    <row r="1878" spans="1:5">
      <c r="A1878" s="4" t="str">
        <f t="shared" si="138"/>
        <v>9</v>
      </c>
      <c r="B1878" s="4" t="str">
        <f>"AMAURI FERNANDO DE ALMEIDA"</f>
        <v>AMAURI FERNANDO DE ALMEIDA</v>
      </c>
      <c r="C1878" s="4" t="str">
        <f>"CHEFE DE DIVISAO III"</f>
        <v>CHEFE DE DIVISAO III</v>
      </c>
      <c r="D1878" s="5">
        <v>901</v>
      </c>
      <c r="E1878" s="4" t="str">
        <f t="shared" si="139"/>
        <v>Funcionário</v>
      </c>
    </row>
    <row r="1879" spans="1:5">
      <c r="A1879" s="4" t="str">
        <f t="shared" si="138"/>
        <v>9</v>
      </c>
      <c r="B1879" s="4" t="str">
        <f>"ANA CELIA HONORATO DORTA"</f>
        <v>ANA CELIA HONORATO DORTA</v>
      </c>
      <c r="C1879" s="4" t="str">
        <f>"TECNICO ADM ESPECIALIZADO"</f>
        <v>TECNICO ADM ESPECIALIZADO</v>
      </c>
      <c r="D1879" s="5">
        <v>910</v>
      </c>
      <c r="E1879" s="4" t="str">
        <f t="shared" si="139"/>
        <v>Funcionário</v>
      </c>
    </row>
    <row r="1880" spans="1:5">
      <c r="A1880" s="4" t="str">
        <f t="shared" si="138"/>
        <v>9</v>
      </c>
      <c r="B1880" s="4" t="str">
        <f>"ANA PAULA DA SILVA"</f>
        <v>ANA PAULA DA SILVA</v>
      </c>
      <c r="C1880" s="4" t="str">
        <f>"ESPECIALISTA"</f>
        <v>ESPECIALISTA</v>
      </c>
      <c r="D1880" s="5">
        <v>900</v>
      </c>
      <c r="E1880" s="4" t="str">
        <f t="shared" si="139"/>
        <v>Funcionário</v>
      </c>
    </row>
    <row r="1881" spans="1:5">
      <c r="A1881" s="4" t="str">
        <f t="shared" si="138"/>
        <v>9</v>
      </c>
      <c r="B1881" s="4" t="str">
        <f>"ANA PAULA MARTINS SIQUEIRA"</f>
        <v>ANA PAULA MARTINS SIQUEIRA</v>
      </c>
      <c r="C1881" s="4" t="str">
        <f>"TECNICO ADM ESPECIALIZADO"</f>
        <v>TECNICO ADM ESPECIALIZADO</v>
      </c>
      <c r="D1881" s="5">
        <v>900</v>
      </c>
      <c r="E1881" s="4" t="str">
        <f t="shared" si="139"/>
        <v>Funcionário</v>
      </c>
    </row>
    <row r="1882" spans="1:5">
      <c r="A1882" s="4" t="str">
        <f t="shared" si="138"/>
        <v>9</v>
      </c>
      <c r="B1882" s="4" t="str">
        <f>"ANDRE CHRISTIAN REIS CASTRO"</f>
        <v>ANDRE CHRISTIAN REIS CASTRO</v>
      </c>
      <c r="C1882" s="4" t="str">
        <f>"ASSESSOR CHEFE I"</f>
        <v>ASSESSOR CHEFE I</v>
      </c>
      <c r="D1882" s="5">
        <v>901</v>
      </c>
      <c r="E1882" s="4" t="str">
        <f t="shared" si="139"/>
        <v>Funcionário</v>
      </c>
    </row>
    <row r="1883" spans="1:5">
      <c r="A1883" s="4" t="str">
        <f t="shared" si="138"/>
        <v>9</v>
      </c>
      <c r="B1883" s="4" t="str">
        <f>"ANDRE LUIZ DE ASSIS MIRANDA"</f>
        <v>ANDRE LUIZ DE ASSIS MIRANDA</v>
      </c>
      <c r="C1883" s="4" t="str">
        <f>"DIRETOR INDUSTRIAL"</f>
        <v>DIRETOR INDUSTRIAL</v>
      </c>
      <c r="D1883" s="5">
        <v>911</v>
      </c>
      <c r="E1883" s="4" t="str">
        <f>"Empregador"</f>
        <v>Empregador</v>
      </c>
    </row>
    <row r="1884" spans="1:5">
      <c r="A1884" s="4" t="str">
        <f t="shared" si="138"/>
        <v>9</v>
      </c>
      <c r="B1884" s="4" t="str">
        <f>"ANGELICA LESSA DE AGUIAR MEDEIROS"</f>
        <v>ANGELICA LESSA DE AGUIAR MEDEIROS</v>
      </c>
      <c r="C1884" s="4" t="str">
        <f>"ASSESSOR I"</f>
        <v>ASSESSOR I</v>
      </c>
      <c r="D1884" s="5">
        <v>901</v>
      </c>
      <c r="E1884" s="4" t="str">
        <f>"Funcionário"</f>
        <v>Funcionário</v>
      </c>
    </row>
    <row r="1885" spans="1:5">
      <c r="A1885" s="4" t="str">
        <f t="shared" si="138"/>
        <v>9</v>
      </c>
      <c r="B1885" s="4" t="str">
        <f>"ANTONIA AURELIANO DE ALMEIDA"</f>
        <v>ANTONIA AURELIANO DE ALMEIDA</v>
      </c>
      <c r="C1885" s="4" t="str">
        <f>"OFICIAL DE PRODUCAO INDUSTRIAL"</f>
        <v>OFICIAL DE PRODUCAO INDUSTRIAL</v>
      </c>
      <c r="D1885" s="5">
        <v>910</v>
      </c>
      <c r="E1885" s="4" t="str">
        <f>"Funcionário"</f>
        <v>Funcionário</v>
      </c>
    </row>
    <row r="1886" spans="1:5">
      <c r="A1886" s="4" t="str">
        <f t="shared" si="138"/>
        <v>9</v>
      </c>
      <c r="B1886" s="4" t="str">
        <f>"ANTONIA IRISMAR OLIVEIRA GUIMARAES"</f>
        <v>ANTONIA IRISMAR OLIVEIRA GUIMARAES</v>
      </c>
      <c r="C1886" s="4" t="str">
        <f>"AUX TECNICO ADMINISTRATIVO"</f>
        <v>AUX TECNICO ADMINISTRATIVO</v>
      </c>
      <c r="D1886" s="5">
        <v>910</v>
      </c>
      <c r="E1886" s="4" t="str">
        <f>"Funcionário"</f>
        <v>Funcionário</v>
      </c>
    </row>
    <row r="1887" spans="1:5">
      <c r="A1887" s="4" t="str">
        <f t="shared" si="138"/>
        <v>9</v>
      </c>
      <c r="B1887" s="4" t="str">
        <f>"ANTONIETA BRITO DE SANTANA PEREIRA"</f>
        <v>ANTONIETA BRITO DE SANTANA PEREIRA</v>
      </c>
      <c r="C1887" s="4" t="str">
        <f>"OFICIAL DE PRODUCAO INDUSTRIAL"</f>
        <v>OFICIAL DE PRODUCAO INDUSTRIAL</v>
      </c>
      <c r="D1887" s="5">
        <v>910</v>
      </c>
      <c r="E1887" s="4" t="str">
        <f>"Funcionário"</f>
        <v>Funcionário</v>
      </c>
    </row>
    <row r="1888" spans="1:5">
      <c r="A1888" s="4" t="str">
        <f t="shared" si="138"/>
        <v>9</v>
      </c>
      <c r="B1888" s="4" t="str">
        <f>"ANTONIO AFONSO GUEDES BESERRA"</f>
        <v>ANTONIO AFONSO GUEDES BESERRA</v>
      </c>
      <c r="C1888" s="4" t="str">
        <f>"TECNICO ADM ESPECIALIZADO"</f>
        <v>TECNICO ADM ESPECIALIZADO</v>
      </c>
      <c r="D1888" s="5">
        <v>900</v>
      </c>
      <c r="E1888" s="4" t="str">
        <f>"Aposentado"</f>
        <v>Aposentado</v>
      </c>
    </row>
    <row r="1889" spans="1:5">
      <c r="A1889" s="4" t="str">
        <f t="shared" si="138"/>
        <v>9</v>
      </c>
      <c r="B1889" s="4" t="str">
        <f>"ANTONIO DA SILVA"</f>
        <v>ANTONIO DA SILVA</v>
      </c>
      <c r="C1889" s="4" t="str">
        <f>"OFICIAL DE PRODUCAO INDUSTRIAL"</f>
        <v>OFICIAL DE PRODUCAO INDUSTRIAL</v>
      </c>
      <c r="D1889" s="5">
        <v>900</v>
      </c>
      <c r="E1889" s="4" t="str">
        <f>"Funcionário"</f>
        <v>Funcionário</v>
      </c>
    </row>
    <row r="1890" spans="1:5">
      <c r="A1890" s="4" t="str">
        <f t="shared" si="138"/>
        <v>9</v>
      </c>
      <c r="B1890" s="4" t="str">
        <f>"ANTONIZA CAVALCANTE RODRIGUES"</f>
        <v>ANTONIZA CAVALCANTE RODRIGUES</v>
      </c>
      <c r="C1890" s="4" t="str">
        <f>"AUXILIAR TECNICO INDUSTRIAL"</f>
        <v>AUXILIAR TECNICO INDUSTRIAL</v>
      </c>
      <c r="D1890" s="5">
        <v>910</v>
      </c>
      <c r="E1890" s="4" t="str">
        <f>"Aposentado"</f>
        <v>Aposentado</v>
      </c>
    </row>
    <row r="1891" spans="1:5">
      <c r="A1891" s="4" t="str">
        <f t="shared" si="138"/>
        <v>9</v>
      </c>
      <c r="B1891" s="4" t="str">
        <f>"APARECIDA DA SILVA"</f>
        <v>APARECIDA DA SILVA</v>
      </c>
      <c r="C1891" s="4" t="str">
        <f>"AUXILIAR TECNICO INDUSTRIAL"</f>
        <v>AUXILIAR TECNICO INDUSTRIAL</v>
      </c>
      <c r="D1891" s="5">
        <v>910</v>
      </c>
      <c r="E1891" s="4" t="str">
        <f t="shared" ref="E1891:E1906" si="140">"Funcionário"</f>
        <v>Funcionário</v>
      </c>
    </row>
    <row r="1892" spans="1:5">
      <c r="A1892" s="4" t="str">
        <f t="shared" si="138"/>
        <v>9</v>
      </c>
      <c r="B1892" s="4" t="str">
        <f>"BETANIA ALVES"</f>
        <v>BETANIA ALVES</v>
      </c>
      <c r="C1892" s="4" t="str">
        <f>"ESPECIALISTA"</f>
        <v>ESPECIALISTA</v>
      </c>
      <c r="D1892" s="5">
        <v>900</v>
      </c>
      <c r="E1892" s="4" t="str">
        <f t="shared" si="140"/>
        <v>Funcionário</v>
      </c>
    </row>
    <row r="1893" spans="1:5">
      <c r="A1893" s="4" t="str">
        <f t="shared" si="138"/>
        <v>9</v>
      </c>
      <c r="B1893" s="4" t="str">
        <f>"BETTY FERRARI VILCHES"</f>
        <v>BETTY FERRARI VILCHES</v>
      </c>
      <c r="C1893" s="4" t="str">
        <f>"TECNICO ADM ESPECIALIZADO"</f>
        <v>TECNICO ADM ESPECIALIZADO</v>
      </c>
      <c r="D1893" s="5">
        <v>900</v>
      </c>
      <c r="E1893" s="4" t="str">
        <f t="shared" si="140"/>
        <v>Funcionário</v>
      </c>
    </row>
    <row r="1894" spans="1:5">
      <c r="A1894" s="4" t="str">
        <f t="shared" si="138"/>
        <v>9</v>
      </c>
      <c r="B1894" s="4" t="str">
        <f>"BRIANE CERVO MEDEIROS"</f>
        <v>BRIANE CERVO MEDEIROS</v>
      </c>
      <c r="C1894" s="4" t="str">
        <f>"ANALISTA ESPECIALIZADO"</f>
        <v>ANALISTA ESPECIALIZADO</v>
      </c>
      <c r="D1894" s="5">
        <v>900</v>
      </c>
      <c r="E1894" s="4" t="str">
        <f t="shared" si="140"/>
        <v>Funcionário</v>
      </c>
    </row>
    <row r="1895" spans="1:5">
      <c r="A1895" s="4" t="str">
        <f t="shared" si="138"/>
        <v>9</v>
      </c>
      <c r="B1895" s="4" t="str">
        <f>"BRUNO FUZEIRA CHAUL"</f>
        <v>BRUNO FUZEIRA CHAUL</v>
      </c>
      <c r="C1895" s="4" t="str">
        <f>"ANALISTA ESPECIALIZADO"</f>
        <v>ANALISTA ESPECIALIZADO</v>
      </c>
      <c r="D1895" s="5">
        <v>900</v>
      </c>
      <c r="E1895" s="4" t="str">
        <f t="shared" si="140"/>
        <v>Funcionário</v>
      </c>
    </row>
    <row r="1896" spans="1:5">
      <c r="A1896" s="4" t="str">
        <f t="shared" ref="A1896:A1927" si="141">"9"</f>
        <v>9</v>
      </c>
      <c r="B1896" s="4" t="str">
        <f>"BRUNO MONTENEGRO SANTANA"</f>
        <v>BRUNO MONTENEGRO SANTANA</v>
      </c>
      <c r="C1896" s="4" t="str">
        <f>"ASSESSOR ESPECIAL I"</f>
        <v>ASSESSOR ESPECIAL I</v>
      </c>
      <c r="D1896" s="5">
        <v>901</v>
      </c>
      <c r="E1896" s="4" t="str">
        <f t="shared" si="140"/>
        <v>Funcionário</v>
      </c>
    </row>
    <row r="1897" spans="1:5">
      <c r="A1897" s="4" t="str">
        <f t="shared" si="141"/>
        <v>9</v>
      </c>
      <c r="B1897" s="4" t="str">
        <f>"CARLA CUNHA MELO"</f>
        <v>CARLA CUNHA MELO</v>
      </c>
      <c r="C1897" s="4" t="str">
        <f>"ANALISTA ESPECIALIZADO"</f>
        <v>ANALISTA ESPECIALIZADO</v>
      </c>
      <c r="D1897" s="5">
        <v>900</v>
      </c>
      <c r="E1897" s="4" t="str">
        <f t="shared" si="140"/>
        <v>Funcionário</v>
      </c>
    </row>
    <row r="1898" spans="1:5">
      <c r="A1898" s="4" t="str">
        <f t="shared" si="141"/>
        <v>9</v>
      </c>
      <c r="B1898" s="4" t="str">
        <f>"CELIO MARCIO RIBEIRO DOS REIS"</f>
        <v>CELIO MARCIO RIBEIRO DOS REIS</v>
      </c>
      <c r="C1898" s="4" t="str">
        <f>"ASSESSOR I"</f>
        <v>ASSESSOR I</v>
      </c>
      <c r="D1898" s="5">
        <v>901</v>
      </c>
      <c r="E1898" s="4" t="str">
        <f t="shared" si="140"/>
        <v>Funcionário</v>
      </c>
    </row>
    <row r="1899" spans="1:5">
      <c r="A1899" s="4" t="str">
        <f t="shared" si="141"/>
        <v>9</v>
      </c>
      <c r="B1899" s="4" t="str">
        <f>"CELSO LUIZ MILANI ANTES"</f>
        <v>CELSO LUIZ MILANI ANTES</v>
      </c>
      <c r="C1899" s="4" t="str">
        <f>"ASSESSOR CHEFE I"</f>
        <v>ASSESSOR CHEFE I</v>
      </c>
      <c r="D1899" s="5">
        <v>901</v>
      </c>
      <c r="E1899" s="4" t="str">
        <f t="shared" si="140"/>
        <v>Funcionário</v>
      </c>
    </row>
    <row r="1900" spans="1:5">
      <c r="A1900" s="4" t="str">
        <f t="shared" si="141"/>
        <v>9</v>
      </c>
      <c r="B1900" s="4" t="str">
        <f>"CLAUDIA REGINA CORREIA VELLOSO SANTANA"</f>
        <v>CLAUDIA REGINA CORREIA VELLOSO SANTANA</v>
      </c>
      <c r="C1900" s="4" t="str">
        <f>"ASSESSOR I"</f>
        <v>ASSESSOR I</v>
      </c>
      <c r="D1900" s="5">
        <v>901</v>
      </c>
      <c r="E1900" s="4" t="str">
        <f t="shared" si="140"/>
        <v>Funcionário</v>
      </c>
    </row>
    <row r="1901" spans="1:5">
      <c r="A1901" s="4" t="str">
        <f t="shared" si="141"/>
        <v>9</v>
      </c>
      <c r="B1901" s="4" t="str">
        <f>"CLAUDIO EDUARDO DA SILVA RODRIGUES"</f>
        <v>CLAUDIO EDUARDO DA SILVA RODRIGUES</v>
      </c>
      <c r="C1901" s="4" t="str">
        <f>"MILITAR DA ATIVA"</f>
        <v>MILITAR DA ATIVA</v>
      </c>
      <c r="D1901" s="5">
        <v>906</v>
      </c>
      <c r="E1901" s="4" t="str">
        <f t="shared" si="140"/>
        <v>Funcionário</v>
      </c>
    </row>
    <row r="1902" spans="1:5">
      <c r="A1902" s="4" t="str">
        <f t="shared" si="141"/>
        <v>9</v>
      </c>
      <c r="B1902" s="4" t="str">
        <f>"CLOVIS EDUARDO GODOY ILHA"</f>
        <v>CLOVIS EDUARDO GODOY ILHA</v>
      </c>
      <c r="C1902" s="4" t="str">
        <f>"ASSESSOR III"</f>
        <v>ASSESSOR III</v>
      </c>
      <c r="D1902" s="5">
        <v>901</v>
      </c>
      <c r="E1902" s="4" t="str">
        <f t="shared" si="140"/>
        <v>Funcionário</v>
      </c>
    </row>
    <row r="1903" spans="1:5">
      <c r="A1903" s="4" t="str">
        <f t="shared" si="141"/>
        <v>9</v>
      </c>
      <c r="B1903" s="4" t="str">
        <f>"CRISTIANE FRANCISCA DE SOUSA"</f>
        <v>CRISTIANE FRANCISCA DE SOUSA</v>
      </c>
      <c r="C1903" s="4" t="str">
        <f>"ESPECIALISTA"</f>
        <v>ESPECIALISTA</v>
      </c>
      <c r="D1903" s="5">
        <v>900</v>
      </c>
      <c r="E1903" s="4" t="str">
        <f t="shared" si="140"/>
        <v>Funcionário</v>
      </c>
    </row>
    <row r="1904" spans="1:5">
      <c r="A1904" s="4" t="str">
        <f t="shared" si="141"/>
        <v>9</v>
      </c>
      <c r="B1904" s="4" t="str">
        <f>"DANIELA TORRES FERREIRA"</f>
        <v>DANIELA TORRES FERREIRA</v>
      </c>
      <c r="C1904" s="4" t="str">
        <f>"TECNICO ADM ESPECIALIZADO"</f>
        <v>TECNICO ADM ESPECIALIZADO</v>
      </c>
      <c r="D1904" s="5">
        <v>900</v>
      </c>
      <c r="E1904" s="4" t="str">
        <f t="shared" si="140"/>
        <v>Funcionário</v>
      </c>
    </row>
    <row r="1905" spans="1:5">
      <c r="A1905" s="4" t="str">
        <f t="shared" si="141"/>
        <v>9</v>
      </c>
      <c r="B1905" s="4" t="str">
        <f>"DAVIDSON DE MELO SILVA"</f>
        <v>DAVIDSON DE MELO SILVA</v>
      </c>
      <c r="C1905" s="4" t="str">
        <f>"MILITAR DA ATIVA"</f>
        <v>MILITAR DA ATIVA</v>
      </c>
      <c r="D1905" s="5">
        <v>906</v>
      </c>
      <c r="E1905" s="4" t="str">
        <f t="shared" si="140"/>
        <v>Funcionário</v>
      </c>
    </row>
    <row r="1906" spans="1:5">
      <c r="A1906" s="4" t="str">
        <f t="shared" si="141"/>
        <v>9</v>
      </c>
      <c r="B1906" s="4" t="str">
        <f>"DEBORA RAQUEL OLIVEIRA FERNANDES"</f>
        <v>DEBORA RAQUEL OLIVEIRA FERNANDES</v>
      </c>
      <c r="C1906" s="4" t="str">
        <f>"TECNICO ADM ESPECIALIZADO"</f>
        <v>TECNICO ADM ESPECIALIZADO</v>
      </c>
      <c r="D1906" s="5">
        <v>900</v>
      </c>
      <c r="E1906" s="4" t="str">
        <f t="shared" si="140"/>
        <v>Funcionário</v>
      </c>
    </row>
    <row r="1907" spans="1:5">
      <c r="A1907" s="4" t="str">
        <f t="shared" si="141"/>
        <v>9</v>
      </c>
      <c r="B1907" s="4" t="str">
        <f>"DINALVA MERQUIDES SANTOS GONCALVES"</f>
        <v>DINALVA MERQUIDES SANTOS GONCALVES</v>
      </c>
      <c r="C1907" s="4" t="str">
        <f>"AUXILIAR TECNICO INDUSTRIAL"</f>
        <v>AUXILIAR TECNICO INDUSTRIAL</v>
      </c>
      <c r="D1907" s="5">
        <v>910</v>
      </c>
      <c r="E1907" s="4" t="str">
        <f>"Aposentado"</f>
        <v>Aposentado</v>
      </c>
    </row>
    <row r="1908" spans="1:5">
      <c r="A1908" s="4" t="str">
        <f t="shared" si="141"/>
        <v>9</v>
      </c>
      <c r="B1908" s="4" t="str">
        <f>"EDUARDO BOGHOSSIAN"</f>
        <v>EDUARDO BOGHOSSIAN</v>
      </c>
      <c r="C1908" s="4" t="str">
        <f>"ENGENHEIRO"</f>
        <v>ENGENHEIRO</v>
      </c>
      <c r="D1908" s="5">
        <v>910</v>
      </c>
      <c r="E1908" s="4" t="str">
        <f>"Funcionário"</f>
        <v>Funcionário</v>
      </c>
    </row>
    <row r="1909" spans="1:5">
      <c r="A1909" s="4" t="str">
        <f t="shared" si="141"/>
        <v>9</v>
      </c>
      <c r="B1909" s="4" t="str">
        <f>"EDUARDO RANGEL DE CARVALHO"</f>
        <v>EDUARDO RANGEL DE CARVALHO</v>
      </c>
      <c r="C1909" s="4" t="str">
        <f>"DIRETOR MERCADO"</f>
        <v>DIRETOR MERCADO</v>
      </c>
      <c r="D1909" s="5">
        <v>902</v>
      </c>
      <c r="E1909" s="4" t="str">
        <f>"Empregador"</f>
        <v>Empregador</v>
      </c>
    </row>
    <row r="1910" spans="1:5">
      <c r="A1910" s="4" t="str">
        <f t="shared" si="141"/>
        <v>9</v>
      </c>
      <c r="B1910" s="4" t="str">
        <f>"ELIANO XAVIER COSTA"</f>
        <v>ELIANO XAVIER COSTA</v>
      </c>
      <c r="C1910" s="4" t="str">
        <f>"ASSESSOR CHEFE I"</f>
        <v>ASSESSOR CHEFE I</v>
      </c>
      <c r="D1910" s="5">
        <v>901</v>
      </c>
      <c r="E1910" s="4" t="str">
        <f>"Funcionário"</f>
        <v>Funcionário</v>
      </c>
    </row>
    <row r="1911" spans="1:5">
      <c r="A1911" s="4" t="str">
        <f t="shared" si="141"/>
        <v>9</v>
      </c>
      <c r="B1911" s="4" t="str">
        <f>"ELIENE XAVIER MOREIRA"</f>
        <v>ELIENE XAVIER MOREIRA</v>
      </c>
      <c r="C1911" s="4" t="str">
        <f>"AUX TECNICO ADMINISTRATIVO"</f>
        <v>AUX TECNICO ADMINISTRATIVO</v>
      </c>
      <c r="D1911" s="5">
        <v>900</v>
      </c>
      <c r="E1911" s="4" t="str">
        <f>"Funcionário"</f>
        <v>Funcionário</v>
      </c>
    </row>
    <row r="1912" spans="1:5">
      <c r="A1912" s="4" t="str">
        <f t="shared" si="141"/>
        <v>9</v>
      </c>
      <c r="B1912" s="4" t="str">
        <f>"ELIZABETE DIAS DA SILVA"</f>
        <v>ELIZABETE DIAS DA SILVA</v>
      </c>
      <c r="C1912" s="4" t="str">
        <f>"ANALISTA ESPECIALIZADO"</f>
        <v>ANALISTA ESPECIALIZADO</v>
      </c>
      <c r="D1912" s="5">
        <v>900</v>
      </c>
      <c r="E1912" s="4" t="str">
        <f>"Funcionário"</f>
        <v>Funcionário</v>
      </c>
    </row>
    <row r="1913" spans="1:5">
      <c r="A1913" s="4" t="str">
        <f t="shared" si="141"/>
        <v>9</v>
      </c>
      <c r="B1913" s="4" t="str">
        <f>"ELMA LUCIA SILVA DE ALBUQUERQUE"</f>
        <v>ELMA LUCIA SILVA DE ALBUQUERQUE</v>
      </c>
      <c r="C1913" s="4" t="str">
        <f>"TEC INDUSTRIAL ESPECIALIZADO"</f>
        <v>TEC INDUSTRIAL ESPECIALIZADO</v>
      </c>
      <c r="D1913" s="5">
        <v>910</v>
      </c>
      <c r="E1913" s="4" t="str">
        <f>"Aposentado"</f>
        <v>Aposentado</v>
      </c>
    </row>
    <row r="1914" spans="1:5">
      <c r="A1914" s="4" t="str">
        <f t="shared" si="141"/>
        <v>9</v>
      </c>
      <c r="B1914" s="4" t="str">
        <f>"EMANUEL VITOR ALMEIDA BEZERRA"</f>
        <v>EMANUEL VITOR ALMEIDA BEZERRA</v>
      </c>
      <c r="C1914" s="4" t="str">
        <f>"ADVOGADO"</f>
        <v>ADVOGADO</v>
      </c>
      <c r="D1914" s="5">
        <v>900</v>
      </c>
      <c r="E1914" s="4" t="str">
        <f>"Funcionário"</f>
        <v>Funcionário</v>
      </c>
    </row>
    <row r="1915" spans="1:5">
      <c r="A1915" s="4" t="str">
        <f t="shared" si="141"/>
        <v>9</v>
      </c>
      <c r="B1915" s="4" t="str">
        <f>"EMANUELLA PERES VIEIRA ESPINHEIRA"</f>
        <v>EMANUELLA PERES VIEIRA ESPINHEIRA</v>
      </c>
      <c r="C1915" s="4" t="str">
        <f>"TECNICO ADM ESPECIALIZADO"</f>
        <v>TECNICO ADM ESPECIALIZADO</v>
      </c>
      <c r="D1915" s="5">
        <v>900</v>
      </c>
      <c r="E1915" s="4" t="str">
        <f>"Funcionário"</f>
        <v>Funcionário</v>
      </c>
    </row>
    <row r="1916" spans="1:5">
      <c r="A1916" s="4" t="str">
        <f t="shared" si="141"/>
        <v>9</v>
      </c>
      <c r="B1916" s="4" t="str">
        <f>"ENEIAS ALENCAR DE ARAUJO"</f>
        <v>ENEIAS ALENCAR DE ARAUJO</v>
      </c>
      <c r="C1916" s="4" t="str">
        <f>"MOTORISTA"</f>
        <v>MOTORISTA</v>
      </c>
      <c r="D1916" s="5">
        <v>900</v>
      </c>
      <c r="E1916" s="4" t="str">
        <f>"Funcionário"</f>
        <v>Funcionário</v>
      </c>
    </row>
    <row r="1917" spans="1:5">
      <c r="A1917" s="4" t="str">
        <f t="shared" si="141"/>
        <v>9</v>
      </c>
      <c r="B1917" s="4" t="str">
        <f>"ENZO FITTARELLI DA SILVA"</f>
        <v>ENZO FITTARELLI DA SILVA</v>
      </c>
      <c r="C1917" s="4" t="str">
        <f>"APRENDIZ- ADMINISTRATIVO"</f>
        <v>APRENDIZ- ADMINISTRATIVO</v>
      </c>
      <c r="D1917" s="5">
        <v>904</v>
      </c>
      <c r="E1917" s="4" t="str">
        <f>"Aprendiz"</f>
        <v>Aprendiz</v>
      </c>
    </row>
    <row r="1918" spans="1:5">
      <c r="A1918" s="4" t="str">
        <f t="shared" si="141"/>
        <v>9</v>
      </c>
      <c r="B1918" s="4" t="str">
        <f>"ERIC LUCIANO MAGALHAES"</f>
        <v>ERIC LUCIANO MAGALHAES</v>
      </c>
      <c r="C1918" s="4" t="str">
        <f>"ASSESSOR I"</f>
        <v>ASSESSOR I</v>
      </c>
      <c r="D1918" s="5">
        <v>901</v>
      </c>
      <c r="E1918" s="4" t="str">
        <f>"Funcionário"</f>
        <v>Funcionário</v>
      </c>
    </row>
    <row r="1919" spans="1:5">
      <c r="A1919" s="4" t="str">
        <f t="shared" si="141"/>
        <v>9</v>
      </c>
      <c r="B1919" s="4" t="str">
        <f>"ERICK MENEZES MOREIRA"</f>
        <v>ERICK MENEZES MOREIRA</v>
      </c>
      <c r="C1919" s="4" t="str">
        <f>"MILITAR DA ATIVA"</f>
        <v>MILITAR DA ATIVA</v>
      </c>
      <c r="D1919" s="5">
        <v>906</v>
      </c>
      <c r="E1919" s="4" t="str">
        <f>"Funcionário"</f>
        <v>Funcionário</v>
      </c>
    </row>
    <row r="1920" spans="1:5">
      <c r="A1920" s="4" t="str">
        <f t="shared" si="141"/>
        <v>9</v>
      </c>
      <c r="B1920" s="4" t="str">
        <f>"FABIANA ROZELI SIMOES CANABARRO"</f>
        <v>FABIANA ROZELI SIMOES CANABARRO</v>
      </c>
      <c r="C1920" s="4" t="str">
        <f>"ASSESSOR II"</f>
        <v>ASSESSOR II</v>
      </c>
      <c r="D1920" s="5">
        <v>901</v>
      </c>
      <c r="E1920" s="4" t="str">
        <f>"Funcionário"</f>
        <v>Funcionário</v>
      </c>
    </row>
    <row r="1921" spans="1:5">
      <c r="A1921" s="4" t="str">
        <f t="shared" si="141"/>
        <v>9</v>
      </c>
      <c r="B1921" s="4" t="str">
        <f>"FABIOLA VIANA FALCAO"</f>
        <v>FABIOLA VIANA FALCAO</v>
      </c>
      <c r="C1921" s="4" t="str">
        <f>"MEMBRO DO COMITÊ DE AUDITORIA"</f>
        <v>MEMBRO DO COMITÊ DE AUDITORIA</v>
      </c>
      <c r="D1921" s="5">
        <v>916</v>
      </c>
      <c r="E1921" s="4" t="str">
        <f>"Empregador"</f>
        <v>Empregador</v>
      </c>
    </row>
    <row r="1922" spans="1:5">
      <c r="A1922" s="4" t="str">
        <f t="shared" si="141"/>
        <v>9</v>
      </c>
      <c r="B1922" s="4" t="str">
        <f>"FABRICIO STOBIENIA DE LIMA"</f>
        <v>FABRICIO STOBIENIA DE LIMA</v>
      </c>
      <c r="C1922" s="4" t="str">
        <f>"MEMBRO DO CONSELHO ADM/FISCAL"</f>
        <v>MEMBRO DO CONSELHO ADM/FISCAL</v>
      </c>
      <c r="D1922" s="5">
        <v>916</v>
      </c>
      <c r="E1922" s="4" t="str">
        <f>"Empregador"</f>
        <v>Empregador</v>
      </c>
    </row>
    <row r="1923" spans="1:5">
      <c r="A1923" s="4" t="str">
        <f t="shared" si="141"/>
        <v>9</v>
      </c>
      <c r="B1923" s="4" t="str">
        <f>"FELIPE AUGUSTO DE FREITAS BORGES"</f>
        <v>FELIPE AUGUSTO DE FREITAS BORGES</v>
      </c>
      <c r="C1923" s="4" t="str">
        <f>"ANALISTA ESPECIALIZADO"</f>
        <v>ANALISTA ESPECIALIZADO</v>
      </c>
      <c r="D1923" s="5">
        <v>900</v>
      </c>
      <c r="E1923" s="4" t="str">
        <f>"Funcionário"</f>
        <v>Funcionário</v>
      </c>
    </row>
    <row r="1924" spans="1:5">
      <c r="A1924" s="4" t="str">
        <f t="shared" si="141"/>
        <v>9</v>
      </c>
      <c r="B1924" s="4" t="str">
        <f>"FELIPE MONTENEGRO CHAVES"</f>
        <v>FELIPE MONTENEGRO CHAVES</v>
      </c>
      <c r="C1924" s="4" t="str">
        <f>"ANALISTA ESPECIALIZADO"</f>
        <v>ANALISTA ESPECIALIZADO</v>
      </c>
      <c r="D1924" s="5">
        <v>900</v>
      </c>
      <c r="E1924" s="4" t="str">
        <f>"Funcionário"</f>
        <v>Funcionário</v>
      </c>
    </row>
    <row r="1925" spans="1:5">
      <c r="A1925" s="4" t="str">
        <f t="shared" si="141"/>
        <v>9</v>
      </c>
      <c r="B1925" s="4" t="str">
        <f>"FERNANDA ARAUJO DA NOBREGA DORNELAS"</f>
        <v>FERNANDA ARAUJO DA NOBREGA DORNELAS</v>
      </c>
      <c r="C1925" s="4" t="str">
        <f>"ESPECIALISTA"</f>
        <v>ESPECIALISTA</v>
      </c>
      <c r="D1925" s="5">
        <v>900</v>
      </c>
      <c r="E1925" s="4" t="str">
        <f>"Funcionário"</f>
        <v>Funcionário</v>
      </c>
    </row>
    <row r="1926" spans="1:5">
      <c r="A1926" s="4" t="str">
        <f t="shared" si="141"/>
        <v>9</v>
      </c>
      <c r="B1926" s="4" t="str">
        <f>"FERNANDA GARCIA MACHADO"</f>
        <v>FERNANDA GARCIA MACHADO</v>
      </c>
      <c r="C1926" s="4" t="str">
        <f>"MEMBRO DO CONSELHO ADM/FISCAL"</f>
        <v>MEMBRO DO CONSELHO ADM/FISCAL</v>
      </c>
      <c r="D1926" s="5">
        <v>916</v>
      </c>
      <c r="E1926" s="4" t="str">
        <f>"Empregador"</f>
        <v>Empregador</v>
      </c>
    </row>
    <row r="1927" spans="1:5">
      <c r="A1927" s="4" t="str">
        <f t="shared" si="141"/>
        <v>9</v>
      </c>
      <c r="B1927" s="4" t="str">
        <f>"FILLIPE DA SILVA SANTOS"</f>
        <v>FILLIPE DA SILVA SANTOS</v>
      </c>
      <c r="C1927" s="4" t="str">
        <f>"ESPECIALISTA"</f>
        <v>ESPECIALISTA</v>
      </c>
      <c r="D1927" s="5">
        <v>900</v>
      </c>
      <c r="E1927" s="4" t="str">
        <f>"Funcionário"</f>
        <v>Funcionário</v>
      </c>
    </row>
    <row r="1928" spans="1:5">
      <c r="A1928" s="4" t="str">
        <f t="shared" ref="A1928:A1959" si="142">"9"</f>
        <v>9</v>
      </c>
      <c r="B1928" s="4" t="str">
        <f>"FLAVIA MENDES ROCHA"</f>
        <v>FLAVIA MENDES ROCHA</v>
      </c>
      <c r="C1928" s="4" t="str">
        <f>"TECNICO ADM ESPECIALIZADO"</f>
        <v>TECNICO ADM ESPECIALIZADO</v>
      </c>
      <c r="D1928" s="5">
        <v>900</v>
      </c>
      <c r="E1928" s="4" t="str">
        <f>"Funcionário"</f>
        <v>Funcionário</v>
      </c>
    </row>
    <row r="1929" spans="1:5">
      <c r="A1929" s="4" t="str">
        <f t="shared" si="142"/>
        <v>9</v>
      </c>
      <c r="B1929" s="4" t="str">
        <f>"FRANCISCA BARBOSA"</f>
        <v>FRANCISCA BARBOSA</v>
      </c>
      <c r="C1929" s="4" t="str">
        <f>"OFICIAL DE PRODUCAO INDUSTRIAL"</f>
        <v>OFICIAL DE PRODUCAO INDUSTRIAL</v>
      </c>
      <c r="D1929" s="5">
        <v>910</v>
      </c>
      <c r="E1929" s="4" t="str">
        <f>"Aposentado"</f>
        <v>Aposentado</v>
      </c>
    </row>
    <row r="1930" spans="1:5">
      <c r="A1930" s="4" t="str">
        <f t="shared" si="142"/>
        <v>9</v>
      </c>
      <c r="B1930" s="4" t="str">
        <f>"GEOVANA GONÇALVES DA SILVA CEZARIO"</f>
        <v>GEOVANA GONÇALVES DA SILVA CEZARIO</v>
      </c>
      <c r="C1930" s="4" t="str">
        <f>"APRENDIZ- ADMINISTRATIVO"</f>
        <v>APRENDIZ- ADMINISTRATIVO</v>
      </c>
      <c r="D1930" s="5">
        <v>904</v>
      </c>
      <c r="E1930" s="4" t="str">
        <f>"Aprendiz"</f>
        <v>Aprendiz</v>
      </c>
    </row>
    <row r="1931" spans="1:5">
      <c r="A1931" s="4" t="str">
        <f t="shared" si="142"/>
        <v>9</v>
      </c>
      <c r="B1931" s="4" t="str">
        <f>"GERALDO LUIZ SANTOS LEITE FILHO"</f>
        <v>GERALDO LUIZ SANTOS LEITE FILHO</v>
      </c>
      <c r="C1931" s="4" t="str">
        <f>"TECNICO SEGURANÇA DO TRABALHO"</f>
        <v>TECNICO SEGURANÇA DO TRABALHO</v>
      </c>
      <c r="D1931" s="5">
        <v>900</v>
      </c>
      <c r="E1931" s="4" t="str">
        <f>"Funcionário"</f>
        <v>Funcionário</v>
      </c>
    </row>
    <row r="1932" spans="1:5">
      <c r="A1932" s="4" t="str">
        <f t="shared" si="142"/>
        <v>9</v>
      </c>
      <c r="B1932" s="4" t="str">
        <f>"GERSON DA SILVA"</f>
        <v>GERSON DA SILVA</v>
      </c>
      <c r="C1932" s="4" t="str">
        <f>"TECNICO ADM ESPECIALIZADO"</f>
        <v>TECNICO ADM ESPECIALIZADO</v>
      </c>
      <c r="D1932" s="5">
        <v>900</v>
      </c>
      <c r="E1932" s="4" t="str">
        <f>"Funcionário"</f>
        <v>Funcionário</v>
      </c>
    </row>
    <row r="1933" spans="1:5">
      <c r="A1933" s="4" t="str">
        <f t="shared" si="142"/>
        <v>9</v>
      </c>
      <c r="B1933" s="4" t="str">
        <f>"GILMA FERNANDES DE OLIVEIRA"</f>
        <v>GILMA FERNANDES DE OLIVEIRA</v>
      </c>
      <c r="C1933" s="4" t="str">
        <f>"AUXILIAR TECNICO INDUSTRIAL"</f>
        <v>AUXILIAR TECNICO INDUSTRIAL</v>
      </c>
      <c r="D1933" s="5">
        <v>910</v>
      </c>
      <c r="E1933" s="4" t="str">
        <f>"Funcionário"</f>
        <v>Funcionário</v>
      </c>
    </row>
    <row r="1934" spans="1:5">
      <c r="A1934" s="4" t="str">
        <f t="shared" si="142"/>
        <v>9</v>
      </c>
      <c r="B1934" s="4" t="str">
        <f>"GIOVANNA RIBEIRO SILVA MACIEL"</f>
        <v>GIOVANNA RIBEIRO SILVA MACIEL</v>
      </c>
      <c r="C1934" s="4" t="str">
        <f>"APRENDIZ- ADMINISTRATIVO"</f>
        <v>APRENDIZ- ADMINISTRATIVO</v>
      </c>
      <c r="D1934" s="5">
        <v>904</v>
      </c>
      <c r="E1934" s="4" t="str">
        <f>"Aprendiz"</f>
        <v>Aprendiz</v>
      </c>
    </row>
    <row r="1935" spans="1:5">
      <c r="A1935" s="4" t="str">
        <f t="shared" si="142"/>
        <v>9</v>
      </c>
      <c r="B1935" s="4" t="str">
        <f>"GRACE TAVARES VIEIRA"</f>
        <v>GRACE TAVARES VIEIRA</v>
      </c>
      <c r="C1935" s="4" t="str">
        <f>"ASSESSOR II"</f>
        <v>ASSESSOR II</v>
      </c>
      <c r="D1935" s="5">
        <v>901</v>
      </c>
      <c r="E1935" s="4" t="str">
        <f t="shared" ref="E1935:E1953" si="143">"Funcionário"</f>
        <v>Funcionário</v>
      </c>
    </row>
    <row r="1936" spans="1:5">
      <c r="A1936" s="4" t="str">
        <f t="shared" si="142"/>
        <v>9</v>
      </c>
      <c r="B1936" s="4" t="str">
        <f>"GUSTAVO KLEIN DIAS"</f>
        <v>GUSTAVO KLEIN DIAS</v>
      </c>
      <c r="C1936" s="4" t="str">
        <f>"MILITAR DA ATIVA"</f>
        <v>MILITAR DA ATIVA</v>
      </c>
      <c r="D1936" s="5">
        <v>906</v>
      </c>
      <c r="E1936" s="4" t="str">
        <f t="shared" si="143"/>
        <v>Funcionário</v>
      </c>
    </row>
    <row r="1937" spans="1:5">
      <c r="A1937" s="4" t="str">
        <f t="shared" si="142"/>
        <v>9</v>
      </c>
      <c r="B1937" s="4" t="str">
        <f>"GUSTAVO PACHECO DE SOUZA"</f>
        <v>GUSTAVO PACHECO DE SOUZA</v>
      </c>
      <c r="C1937" s="4" t="str">
        <f>"MILITAR DA ATIVA"</f>
        <v>MILITAR DA ATIVA</v>
      </c>
      <c r="D1937" s="5">
        <v>906</v>
      </c>
      <c r="E1937" s="4" t="str">
        <f t="shared" si="143"/>
        <v>Funcionário</v>
      </c>
    </row>
    <row r="1938" spans="1:5">
      <c r="A1938" s="4" t="str">
        <f t="shared" si="142"/>
        <v>9</v>
      </c>
      <c r="B1938" s="4" t="str">
        <f>"GUSTAVO TEIXEIRA MENDES DE OLIVEIRA CRUZ"</f>
        <v>GUSTAVO TEIXEIRA MENDES DE OLIVEIRA CRUZ</v>
      </c>
      <c r="C1938" s="4" t="str">
        <f>"ADVOGADO"</f>
        <v>ADVOGADO</v>
      </c>
      <c r="D1938" s="5">
        <v>900</v>
      </c>
      <c r="E1938" s="4" t="str">
        <f t="shared" si="143"/>
        <v>Funcionário</v>
      </c>
    </row>
    <row r="1939" spans="1:5">
      <c r="A1939" s="4" t="str">
        <f t="shared" si="142"/>
        <v>9</v>
      </c>
      <c r="B1939" s="4" t="str">
        <f>"HELDER MARLON SOUZA DE AVILA"</f>
        <v>HELDER MARLON SOUZA DE AVILA</v>
      </c>
      <c r="C1939" s="4" t="str">
        <f>"ANALISTA ESPECIALIZADO"</f>
        <v>ANALISTA ESPECIALIZADO</v>
      </c>
      <c r="D1939" s="5">
        <v>900</v>
      </c>
      <c r="E1939" s="4" t="str">
        <f t="shared" si="143"/>
        <v>Funcionário</v>
      </c>
    </row>
    <row r="1940" spans="1:5">
      <c r="A1940" s="4" t="str">
        <f t="shared" si="142"/>
        <v>9</v>
      </c>
      <c r="B1940" s="4" t="str">
        <f>"HUGO LEONARDO BARBOSA LIMA"</f>
        <v>HUGO LEONARDO BARBOSA LIMA</v>
      </c>
      <c r="C1940" s="4" t="str">
        <f>"TECNICO ADM ESPECIALIZADO"</f>
        <v>TECNICO ADM ESPECIALIZADO</v>
      </c>
      <c r="D1940" s="5">
        <v>900</v>
      </c>
      <c r="E1940" s="4" t="str">
        <f t="shared" si="143"/>
        <v>Funcionário</v>
      </c>
    </row>
    <row r="1941" spans="1:5">
      <c r="A1941" s="4" t="str">
        <f t="shared" si="142"/>
        <v>9</v>
      </c>
      <c r="B1941" s="4" t="str">
        <f>"HUGO LEONARDO MATOS ALBUQUERQUE"</f>
        <v>HUGO LEONARDO MATOS ALBUQUERQUE</v>
      </c>
      <c r="C1941" s="4" t="str">
        <f>"ESPECIALISTA"</f>
        <v>ESPECIALISTA</v>
      </c>
      <c r="D1941" s="5">
        <v>900</v>
      </c>
      <c r="E1941" s="4" t="str">
        <f t="shared" si="143"/>
        <v>Funcionário</v>
      </c>
    </row>
    <row r="1942" spans="1:5">
      <c r="A1942" s="4" t="str">
        <f t="shared" si="142"/>
        <v>9</v>
      </c>
      <c r="B1942" s="4" t="str">
        <f>"IGOR NOGUEIRA DE OLIVEIRA"</f>
        <v>IGOR NOGUEIRA DE OLIVEIRA</v>
      </c>
      <c r="C1942" s="4" t="str">
        <f>"ENGENHEIRO"</f>
        <v>ENGENHEIRO</v>
      </c>
      <c r="D1942" s="5">
        <v>900</v>
      </c>
      <c r="E1942" s="4" t="str">
        <f t="shared" si="143"/>
        <v>Funcionário</v>
      </c>
    </row>
    <row r="1943" spans="1:5">
      <c r="A1943" s="4" t="str">
        <f t="shared" si="142"/>
        <v>9</v>
      </c>
      <c r="B1943" s="4" t="str">
        <f>"INGRID TIANE PIMENTEL DOS SANTOS"</f>
        <v>INGRID TIANE PIMENTEL DOS SANTOS</v>
      </c>
      <c r="C1943" s="4" t="str">
        <f>"ANALISTA ESPECIALIZADO"</f>
        <v>ANALISTA ESPECIALIZADO</v>
      </c>
      <c r="D1943" s="5">
        <v>900</v>
      </c>
      <c r="E1943" s="4" t="str">
        <f t="shared" si="143"/>
        <v>Funcionário</v>
      </c>
    </row>
    <row r="1944" spans="1:5">
      <c r="A1944" s="4" t="str">
        <f t="shared" si="142"/>
        <v>9</v>
      </c>
      <c r="B1944" s="4" t="str">
        <f>"IVAN SOARES PEREIRA"</f>
        <v>IVAN SOARES PEREIRA</v>
      </c>
      <c r="C1944" s="4" t="str">
        <f>"MOTORISTA"</f>
        <v>MOTORISTA</v>
      </c>
      <c r="D1944" s="5">
        <v>910</v>
      </c>
      <c r="E1944" s="4" t="str">
        <f t="shared" si="143"/>
        <v>Funcionário</v>
      </c>
    </row>
    <row r="1945" spans="1:5">
      <c r="A1945" s="4" t="str">
        <f t="shared" si="142"/>
        <v>9</v>
      </c>
      <c r="B1945" s="4" t="str">
        <f>"IVANEI MATOS DE SOUZA"</f>
        <v>IVANEI MATOS DE SOUZA</v>
      </c>
      <c r="C1945" s="4" t="str">
        <f>"ESPECIALISTA"</f>
        <v>ESPECIALISTA</v>
      </c>
      <c r="D1945" s="5">
        <v>900</v>
      </c>
      <c r="E1945" s="4" t="str">
        <f t="shared" si="143"/>
        <v>Funcionário</v>
      </c>
    </row>
    <row r="1946" spans="1:5">
      <c r="A1946" s="4" t="str">
        <f t="shared" si="142"/>
        <v>9</v>
      </c>
      <c r="B1946" s="4" t="str">
        <f>"IVONIR ZORZO"</f>
        <v>IVONIR ZORZO</v>
      </c>
      <c r="C1946" s="4" t="str">
        <f>"MILITAR DA ATIVA"</f>
        <v>MILITAR DA ATIVA</v>
      </c>
      <c r="D1946" s="5">
        <v>906</v>
      </c>
      <c r="E1946" s="4" t="str">
        <f t="shared" si="143"/>
        <v>Funcionário</v>
      </c>
    </row>
    <row r="1947" spans="1:5">
      <c r="A1947" s="4" t="str">
        <f t="shared" si="142"/>
        <v>9</v>
      </c>
      <c r="B1947" s="4" t="str">
        <f>"IZABEL CRISTINA PINTO VEIGA"</f>
        <v>IZABEL CRISTINA PINTO VEIGA</v>
      </c>
      <c r="C1947" s="4" t="str">
        <f>"AUX TECNICO ADMINISTRATIVO"</f>
        <v>AUX TECNICO ADMINISTRATIVO</v>
      </c>
      <c r="D1947" s="5">
        <v>910</v>
      </c>
      <c r="E1947" s="4" t="str">
        <f t="shared" si="143"/>
        <v>Funcionário</v>
      </c>
    </row>
    <row r="1948" spans="1:5">
      <c r="A1948" s="4" t="str">
        <f t="shared" si="142"/>
        <v>9</v>
      </c>
      <c r="B1948" s="4" t="str">
        <f>"IZAIAS FERREIRA DA SILVA JUNIOR"</f>
        <v>IZAIAS FERREIRA DA SILVA JUNIOR</v>
      </c>
      <c r="C1948" s="4" t="str">
        <f>"ESPECIALISTA"</f>
        <v>ESPECIALISTA</v>
      </c>
      <c r="D1948" s="5">
        <v>900</v>
      </c>
      <c r="E1948" s="4" t="str">
        <f t="shared" si="143"/>
        <v>Funcionário</v>
      </c>
    </row>
    <row r="1949" spans="1:5">
      <c r="A1949" s="4" t="str">
        <f t="shared" si="142"/>
        <v>9</v>
      </c>
      <c r="B1949" s="4" t="str">
        <f>"JADSON LIRA ROJAS"</f>
        <v>JADSON LIRA ROJAS</v>
      </c>
      <c r="C1949" s="4" t="str">
        <f>"TECNICO ADM ESPECIALIZADO"</f>
        <v>TECNICO ADM ESPECIALIZADO</v>
      </c>
      <c r="D1949" s="5">
        <v>900</v>
      </c>
      <c r="E1949" s="4" t="str">
        <f t="shared" si="143"/>
        <v>Funcionário</v>
      </c>
    </row>
    <row r="1950" spans="1:5">
      <c r="A1950" s="4" t="str">
        <f t="shared" si="142"/>
        <v>9</v>
      </c>
      <c r="B1950" s="4" t="str">
        <f>"JAILTON ALVES PEREIRA"</f>
        <v>JAILTON ALVES PEREIRA</v>
      </c>
      <c r="C1950" s="4" t="str">
        <f>"MILITAR DA ATIVA"</f>
        <v>MILITAR DA ATIVA</v>
      </c>
      <c r="D1950" s="5">
        <v>906</v>
      </c>
      <c r="E1950" s="4" t="str">
        <f t="shared" si="143"/>
        <v>Funcionário</v>
      </c>
    </row>
    <row r="1951" spans="1:5">
      <c r="A1951" s="4" t="str">
        <f t="shared" si="142"/>
        <v>9</v>
      </c>
      <c r="B1951" s="4" t="str">
        <f>"JAMILE ALENCAR DA SILVA"</f>
        <v>JAMILE ALENCAR DA SILVA</v>
      </c>
      <c r="C1951" s="4" t="str">
        <f>"ANALISTA ESPECIALIZADO"</f>
        <v>ANALISTA ESPECIALIZADO</v>
      </c>
      <c r="D1951" s="5">
        <v>900</v>
      </c>
      <c r="E1951" s="4" t="str">
        <f t="shared" si="143"/>
        <v>Funcionário</v>
      </c>
    </row>
    <row r="1952" spans="1:5">
      <c r="A1952" s="4" t="str">
        <f t="shared" si="142"/>
        <v>9</v>
      </c>
      <c r="B1952" s="4" t="str">
        <f>"JEREMIAS BERNARDO FREITAS"</f>
        <v>JEREMIAS BERNARDO FREITAS</v>
      </c>
      <c r="C1952" s="4" t="str">
        <f>"AUX TECNICO ADMINISTRATIVO"</f>
        <v>AUX TECNICO ADMINISTRATIVO</v>
      </c>
      <c r="D1952" s="5">
        <v>910</v>
      </c>
      <c r="E1952" s="4" t="str">
        <f t="shared" si="143"/>
        <v>Funcionário</v>
      </c>
    </row>
    <row r="1953" spans="1:5">
      <c r="A1953" s="4" t="str">
        <f t="shared" si="142"/>
        <v>9</v>
      </c>
      <c r="B1953" s="4" t="str">
        <f>"JOAO BATISTA LEITAO"</f>
        <v>JOAO BATISTA LEITAO</v>
      </c>
      <c r="C1953" s="4" t="str">
        <f>"AGENTE DE APOIO OPERACIONAL"</f>
        <v>AGENTE DE APOIO OPERACIONAL</v>
      </c>
      <c r="D1953" s="5">
        <v>900</v>
      </c>
      <c r="E1953" s="4" t="str">
        <f t="shared" si="143"/>
        <v>Funcionário</v>
      </c>
    </row>
    <row r="1954" spans="1:5">
      <c r="A1954" s="4" t="str">
        <f t="shared" si="142"/>
        <v>9</v>
      </c>
      <c r="B1954" s="4" t="str">
        <f>"JOAO DENISON MAIA CORREIA"</f>
        <v>JOAO DENISON MAIA CORREIA</v>
      </c>
      <c r="C1954" s="4" t="str">
        <f>"VICE-PRESIDENTE EXECUTIVO"</f>
        <v>VICE-PRESIDENTE EXECUTIVO</v>
      </c>
      <c r="D1954" s="5">
        <v>902</v>
      </c>
      <c r="E1954" s="4" t="str">
        <f>"Empregador"</f>
        <v>Empregador</v>
      </c>
    </row>
    <row r="1955" spans="1:5">
      <c r="A1955" s="4" t="str">
        <f t="shared" si="142"/>
        <v>9</v>
      </c>
      <c r="B1955" s="4" t="str">
        <f>"JOAO PEDRO MIRANDA MUNIZ DE ARAUJO"</f>
        <v>JOAO PEDRO MIRANDA MUNIZ DE ARAUJO</v>
      </c>
      <c r="C1955" s="4" t="str">
        <f>"TECNICO ADM ESPECIALIZADO"</f>
        <v>TECNICO ADM ESPECIALIZADO</v>
      </c>
      <c r="D1955" s="5">
        <v>900</v>
      </c>
      <c r="E1955" s="4" t="str">
        <f>"Funcionário"</f>
        <v>Funcionário</v>
      </c>
    </row>
    <row r="1956" spans="1:5">
      <c r="A1956" s="4" t="str">
        <f t="shared" si="142"/>
        <v>9</v>
      </c>
      <c r="B1956" s="4" t="str">
        <f>"JOFFRE MOZART PARADA RIBEIRO"</f>
        <v>JOFFRE MOZART PARADA RIBEIRO</v>
      </c>
      <c r="C1956" s="4" t="str">
        <f>"TECNICO ADM ESPECIALIZADO"</f>
        <v>TECNICO ADM ESPECIALIZADO</v>
      </c>
      <c r="D1956" s="5">
        <v>900</v>
      </c>
      <c r="E1956" s="4" t="str">
        <f>"Funcionário"</f>
        <v>Funcionário</v>
      </c>
    </row>
    <row r="1957" spans="1:5">
      <c r="A1957" s="4" t="str">
        <f t="shared" si="142"/>
        <v>9</v>
      </c>
      <c r="B1957" s="4" t="str">
        <f>"JONAS RIBEIRO DA MOTA"</f>
        <v>JONAS RIBEIRO DA MOTA</v>
      </c>
      <c r="C1957" s="4" t="str">
        <f>"CHEFE DE SETOR III"</f>
        <v>CHEFE DE SETOR III</v>
      </c>
      <c r="D1957" s="5">
        <v>907</v>
      </c>
      <c r="E1957" s="4" t="str">
        <f>"Funcionário"</f>
        <v>Funcionário</v>
      </c>
    </row>
    <row r="1958" spans="1:5">
      <c r="A1958" s="4" t="str">
        <f t="shared" si="142"/>
        <v>9</v>
      </c>
      <c r="B1958" s="4" t="str">
        <f>"JOSE AUGUSTO FIRMO VIEIRA"</f>
        <v>JOSE AUGUSTO FIRMO VIEIRA</v>
      </c>
      <c r="C1958" s="4" t="str">
        <f>"AUXILIAR TECNICO INDUSTRIAL"</f>
        <v>AUXILIAR TECNICO INDUSTRIAL</v>
      </c>
      <c r="D1958" s="5">
        <v>900</v>
      </c>
      <c r="E1958" s="4" t="str">
        <f>"Funcionário"</f>
        <v>Funcionário</v>
      </c>
    </row>
    <row r="1959" spans="1:5">
      <c r="A1959" s="4" t="str">
        <f t="shared" si="142"/>
        <v>9</v>
      </c>
      <c r="B1959" s="4" t="str">
        <f>"JOSE BEZERRA NETO"</f>
        <v>JOSE BEZERRA NETO</v>
      </c>
      <c r="C1959" s="4" t="str">
        <f>"AUX TECNICO ADMINISTRATIVO"</f>
        <v>AUX TECNICO ADMINISTRATIVO</v>
      </c>
      <c r="D1959" s="5">
        <v>910</v>
      </c>
      <c r="E1959" s="4" t="str">
        <f>"Funcionário"</f>
        <v>Funcionário</v>
      </c>
    </row>
    <row r="1960" spans="1:5">
      <c r="A1960" s="4" t="str">
        <f t="shared" ref="A1960:A1991" si="144">"9"</f>
        <v>9</v>
      </c>
      <c r="B1960" s="4" t="str">
        <f>"JOSE ROBERTO MARTINS RIBEIRO"</f>
        <v>JOSE ROBERTO MARTINS RIBEIRO</v>
      </c>
      <c r="C1960" s="4" t="str">
        <f>"MEMBRO DO CONSELHO ADM/FISCAL"</f>
        <v>MEMBRO DO CONSELHO ADM/FISCAL</v>
      </c>
      <c r="D1960" s="5">
        <v>916</v>
      </c>
      <c r="E1960" s="4" t="str">
        <f>"Empregador"</f>
        <v>Empregador</v>
      </c>
    </row>
    <row r="1961" spans="1:5">
      <c r="A1961" s="4" t="str">
        <f t="shared" si="144"/>
        <v>9</v>
      </c>
      <c r="B1961" s="4" t="str">
        <f>"JULIANA KOSSOSKI DOS SANTOS"</f>
        <v>JULIANA KOSSOSKI DOS SANTOS</v>
      </c>
      <c r="C1961" s="4" t="str">
        <f>"ENGENHEIRO"</f>
        <v>ENGENHEIRO</v>
      </c>
      <c r="D1961" s="5">
        <v>900</v>
      </c>
      <c r="E1961" s="4" t="str">
        <f t="shared" ref="E1961:E1980" si="145">"Funcionário"</f>
        <v>Funcionário</v>
      </c>
    </row>
    <row r="1962" spans="1:5">
      <c r="A1962" s="4" t="str">
        <f t="shared" si="144"/>
        <v>9</v>
      </c>
      <c r="B1962" s="4" t="str">
        <f>"JULIANA MACIEL VIANA FERREIRA PAINS"</f>
        <v>JULIANA MACIEL VIANA FERREIRA PAINS</v>
      </c>
      <c r="C1962" s="4" t="str">
        <f>"ANALISTA ESPECIALIZADO"</f>
        <v>ANALISTA ESPECIALIZADO</v>
      </c>
      <c r="D1962" s="5">
        <v>900</v>
      </c>
      <c r="E1962" s="4" t="str">
        <f t="shared" si="145"/>
        <v>Funcionário</v>
      </c>
    </row>
    <row r="1963" spans="1:5">
      <c r="A1963" s="4" t="str">
        <f t="shared" si="144"/>
        <v>9</v>
      </c>
      <c r="B1963" s="4" t="str">
        <f>"JULIANA ROSA DIAS"</f>
        <v>JULIANA ROSA DIAS</v>
      </c>
      <c r="C1963" s="4" t="str">
        <f>"ANALISTA ESPECIALIZADO"</f>
        <v>ANALISTA ESPECIALIZADO</v>
      </c>
      <c r="D1963" s="5">
        <v>900</v>
      </c>
      <c r="E1963" s="4" t="str">
        <f t="shared" si="145"/>
        <v>Funcionário</v>
      </c>
    </row>
    <row r="1964" spans="1:5">
      <c r="A1964" s="4" t="str">
        <f t="shared" si="144"/>
        <v>9</v>
      </c>
      <c r="B1964" s="4" t="str">
        <f>"KATHERINE FELIPE FERREIRA"</f>
        <v>KATHERINE FELIPE FERREIRA</v>
      </c>
      <c r="C1964" s="4" t="str">
        <f>"TECNICO ADM ESPECIALIZADO"</f>
        <v>TECNICO ADM ESPECIALIZADO</v>
      </c>
      <c r="D1964" s="5">
        <v>900</v>
      </c>
      <c r="E1964" s="4" t="str">
        <f t="shared" si="145"/>
        <v>Funcionário</v>
      </c>
    </row>
    <row r="1965" spans="1:5">
      <c r="A1965" s="4" t="str">
        <f t="shared" si="144"/>
        <v>9</v>
      </c>
      <c r="B1965" s="4" t="str">
        <f>"LARISSA ANGELICA VELTER"</f>
        <v>LARISSA ANGELICA VELTER</v>
      </c>
      <c r="C1965" s="4" t="str">
        <f>"ESPECIALISTA"</f>
        <v>ESPECIALISTA</v>
      </c>
      <c r="D1965" s="5">
        <v>900</v>
      </c>
      <c r="E1965" s="4" t="str">
        <f t="shared" si="145"/>
        <v>Funcionário</v>
      </c>
    </row>
    <row r="1966" spans="1:5">
      <c r="A1966" s="4" t="str">
        <f t="shared" si="144"/>
        <v>9</v>
      </c>
      <c r="B1966" s="4" t="str">
        <f>"LARISSA SAMPAIO CARNEIRO CAVALCANTI"</f>
        <v>LARISSA SAMPAIO CARNEIRO CAVALCANTI</v>
      </c>
      <c r="C1966" s="4" t="str">
        <f>"ASSESSOR II"</f>
        <v>ASSESSOR II</v>
      </c>
      <c r="D1966" s="5">
        <v>901</v>
      </c>
      <c r="E1966" s="4" t="str">
        <f t="shared" si="145"/>
        <v>Funcionário</v>
      </c>
    </row>
    <row r="1967" spans="1:5">
      <c r="A1967" s="4" t="str">
        <f t="shared" si="144"/>
        <v>9</v>
      </c>
      <c r="B1967" s="4" t="str">
        <f>"LARISSA SILVEIRA MARQUES CORREIA"</f>
        <v>LARISSA SILVEIRA MARQUES CORREIA</v>
      </c>
      <c r="C1967" s="4" t="str">
        <f>"ENGENHEIRO"</f>
        <v>ENGENHEIRO</v>
      </c>
      <c r="D1967" s="5">
        <v>900</v>
      </c>
      <c r="E1967" s="4" t="str">
        <f t="shared" si="145"/>
        <v>Funcionário</v>
      </c>
    </row>
    <row r="1968" spans="1:5">
      <c r="A1968" s="4" t="str">
        <f t="shared" si="144"/>
        <v>9</v>
      </c>
      <c r="B1968" s="4" t="str">
        <f>"LEONARDO ALBERICO BOLZAN"</f>
        <v>LEONARDO ALBERICO BOLZAN</v>
      </c>
      <c r="C1968" s="4" t="str">
        <f>"MILITAR DA ATIVA"</f>
        <v>MILITAR DA ATIVA</v>
      </c>
      <c r="D1968" s="5">
        <v>906</v>
      </c>
      <c r="E1968" s="4" t="str">
        <f t="shared" si="145"/>
        <v>Funcionário</v>
      </c>
    </row>
    <row r="1969" spans="1:5">
      <c r="A1969" s="4" t="str">
        <f t="shared" si="144"/>
        <v>9</v>
      </c>
      <c r="B1969" s="4" t="str">
        <f>"LINCON SANTOS DA SILVA"</f>
        <v>LINCON SANTOS DA SILVA</v>
      </c>
      <c r="C1969" s="4" t="str">
        <f>"TECNICO SEGURANÇA DO TRABALHO"</f>
        <v>TECNICO SEGURANÇA DO TRABALHO</v>
      </c>
      <c r="D1969" s="5">
        <v>900</v>
      </c>
      <c r="E1969" s="4" t="str">
        <f t="shared" si="145"/>
        <v>Funcionário</v>
      </c>
    </row>
    <row r="1970" spans="1:5">
      <c r="A1970" s="4" t="str">
        <f t="shared" si="144"/>
        <v>9</v>
      </c>
      <c r="B1970" s="4" t="str">
        <f>"LUCIANA ANDRÉ DE MOURA"</f>
        <v>LUCIANA ANDRÉ DE MOURA</v>
      </c>
      <c r="C1970" s="4" t="str">
        <f>"TECNICO ADM ESPECIALIZADO"</f>
        <v>TECNICO ADM ESPECIALIZADO</v>
      </c>
      <c r="D1970" s="5">
        <v>900</v>
      </c>
      <c r="E1970" s="4" t="str">
        <f t="shared" si="145"/>
        <v>Funcionário</v>
      </c>
    </row>
    <row r="1971" spans="1:5">
      <c r="A1971" s="4" t="str">
        <f t="shared" si="144"/>
        <v>9</v>
      </c>
      <c r="B1971" s="4" t="str">
        <f>"LUCIANO DA SILVA GOMES"</f>
        <v>LUCIANO DA SILVA GOMES</v>
      </c>
      <c r="C1971" s="4" t="str">
        <f>"ANALISTA ESPECIALIZADO"</f>
        <v>ANALISTA ESPECIALIZADO</v>
      </c>
      <c r="D1971" s="5">
        <v>900</v>
      </c>
      <c r="E1971" s="4" t="str">
        <f t="shared" si="145"/>
        <v>Funcionário</v>
      </c>
    </row>
    <row r="1972" spans="1:5">
      <c r="A1972" s="4" t="str">
        <f t="shared" si="144"/>
        <v>9</v>
      </c>
      <c r="B1972" s="4" t="str">
        <f>"LUCIANO FERNANDES DUTRA"</f>
        <v>LUCIANO FERNANDES DUTRA</v>
      </c>
      <c r="C1972" s="4" t="str">
        <f>"ASSESSOR II"</f>
        <v>ASSESSOR II</v>
      </c>
      <c r="D1972" s="5">
        <v>901</v>
      </c>
      <c r="E1972" s="4" t="str">
        <f t="shared" si="145"/>
        <v>Funcionário</v>
      </c>
    </row>
    <row r="1973" spans="1:5">
      <c r="A1973" s="4" t="str">
        <f t="shared" si="144"/>
        <v>9</v>
      </c>
      <c r="B1973" s="4" t="str">
        <f>"LUIS CLAUDIO DE SOUZA FRANKLIN"</f>
        <v>LUIS CLAUDIO DE SOUZA FRANKLIN</v>
      </c>
      <c r="C1973" s="4" t="str">
        <f>"ASSESSOR ESPECIAL II"</f>
        <v>ASSESSOR ESPECIAL II</v>
      </c>
      <c r="D1973" s="5">
        <v>901</v>
      </c>
      <c r="E1973" s="4" t="str">
        <f t="shared" si="145"/>
        <v>Funcionário</v>
      </c>
    </row>
    <row r="1974" spans="1:5">
      <c r="A1974" s="4" t="str">
        <f t="shared" si="144"/>
        <v>9</v>
      </c>
      <c r="B1974" s="4" t="str">
        <f>"LUIZ AUGUSTO RAMOS PEDRO"</f>
        <v>LUIZ AUGUSTO RAMOS PEDRO</v>
      </c>
      <c r="C1974" s="4" t="str">
        <f>"CHEFE DE DEPARTAMENTO I"</f>
        <v>CHEFE DE DEPARTAMENTO I</v>
      </c>
      <c r="D1974" s="5">
        <v>901</v>
      </c>
      <c r="E1974" s="4" t="str">
        <f t="shared" si="145"/>
        <v>Funcionário</v>
      </c>
    </row>
    <row r="1975" spans="1:5">
      <c r="A1975" s="4" t="str">
        <f t="shared" si="144"/>
        <v>9</v>
      </c>
      <c r="B1975" s="4" t="str">
        <f>"LUIZ CLOVIS ALVES DE OLIVEIRA"</f>
        <v>LUIZ CLOVIS ALVES DE OLIVEIRA</v>
      </c>
      <c r="C1975" s="4" t="str">
        <f>"ASSESSOR I"</f>
        <v>ASSESSOR I</v>
      </c>
      <c r="D1975" s="5">
        <v>901</v>
      </c>
      <c r="E1975" s="4" t="str">
        <f t="shared" si="145"/>
        <v>Funcionário</v>
      </c>
    </row>
    <row r="1976" spans="1:5">
      <c r="A1976" s="4" t="str">
        <f t="shared" si="144"/>
        <v>9</v>
      </c>
      <c r="B1976" s="4" t="str">
        <f>"LUIZ DE JESUS BARBOSA"</f>
        <v>LUIZ DE JESUS BARBOSA</v>
      </c>
      <c r="C1976" s="4" t="str">
        <f>"TEC INDUSTRIAL ESPECIALIZADO"</f>
        <v>TEC INDUSTRIAL ESPECIALIZADO</v>
      </c>
      <c r="D1976" s="5">
        <v>910</v>
      </c>
      <c r="E1976" s="4" t="str">
        <f t="shared" si="145"/>
        <v>Funcionário</v>
      </c>
    </row>
    <row r="1977" spans="1:5">
      <c r="A1977" s="4" t="str">
        <f t="shared" si="144"/>
        <v>9</v>
      </c>
      <c r="B1977" s="4" t="str">
        <f>"LUIZA ROCHA FERREIRA"</f>
        <v>LUIZA ROCHA FERREIRA</v>
      </c>
      <c r="C1977" s="4" t="str">
        <f>"ESPECIALISTA"</f>
        <v>ESPECIALISTA</v>
      </c>
      <c r="D1977" s="5">
        <v>900</v>
      </c>
      <c r="E1977" s="4" t="str">
        <f t="shared" si="145"/>
        <v>Funcionário</v>
      </c>
    </row>
    <row r="1978" spans="1:5">
      <c r="A1978" s="4" t="str">
        <f t="shared" si="144"/>
        <v>9</v>
      </c>
      <c r="B1978" s="4" t="str">
        <f>"MAIARA SILVA GUIMARÃES"</f>
        <v>MAIARA SILVA GUIMARÃES</v>
      </c>
      <c r="C1978" s="4" t="str">
        <f>"ADVOGADO"</f>
        <v>ADVOGADO</v>
      </c>
      <c r="D1978" s="5">
        <v>900</v>
      </c>
      <c r="E1978" s="4" t="str">
        <f t="shared" si="145"/>
        <v>Funcionário</v>
      </c>
    </row>
    <row r="1979" spans="1:5">
      <c r="A1979" s="4" t="str">
        <f t="shared" si="144"/>
        <v>9</v>
      </c>
      <c r="B1979" s="4" t="str">
        <f>"MARCELO MUNIZ COSTA"</f>
        <v>MARCELO MUNIZ COSTA</v>
      </c>
      <c r="C1979" s="4" t="str">
        <f>"ASSESSOR CHEFE I"</f>
        <v>ASSESSOR CHEFE I</v>
      </c>
      <c r="D1979" s="5">
        <v>901</v>
      </c>
      <c r="E1979" s="4" t="str">
        <f t="shared" si="145"/>
        <v>Funcionário</v>
      </c>
    </row>
    <row r="1980" spans="1:5">
      <c r="A1980" s="4" t="str">
        <f t="shared" si="144"/>
        <v>9</v>
      </c>
      <c r="B1980" s="4" t="str">
        <f>"MARCIA ALINE LEAL AMORIM"</f>
        <v>MARCIA ALINE LEAL AMORIM</v>
      </c>
      <c r="C1980" s="4" t="str">
        <f>"ASSESSOR I"</f>
        <v>ASSESSOR I</v>
      </c>
      <c r="D1980" s="5">
        <v>901</v>
      </c>
      <c r="E1980" s="4" t="str">
        <f t="shared" si="145"/>
        <v>Funcionário</v>
      </c>
    </row>
    <row r="1981" spans="1:5">
      <c r="A1981" s="4" t="str">
        <f t="shared" si="144"/>
        <v>9</v>
      </c>
      <c r="B1981" s="4" t="str">
        <f>"MARCIO CORDEIRO FREIRE"</f>
        <v>MARCIO CORDEIRO FREIRE</v>
      </c>
      <c r="C1981" s="4" t="str">
        <f>"MEMBRO DO CONSELHO ADM/FISCAL"</f>
        <v>MEMBRO DO CONSELHO ADM/FISCAL</v>
      </c>
      <c r="D1981" s="5">
        <v>916</v>
      </c>
      <c r="E1981" s="4" t="str">
        <f>"Empregador"</f>
        <v>Empregador</v>
      </c>
    </row>
    <row r="1982" spans="1:5">
      <c r="A1982" s="4" t="str">
        <f t="shared" si="144"/>
        <v>9</v>
      </c>
      <c r="B1982" s="4" t="str">
        <f>"MARCIO GABRIEL RIBEIRO"</f>
        <v>MARCIO GABRIEL RIBEIRO</v>
      </c>
      <c r="C1982" s="4" t="str">
        <f>"DIRETOR ADMINISTRATIVO"</f>
        <v>DIRETOR ADMINISTRATIVO</v>
      </c>
      <c r="D1982" s="5">
        <v>902</v>
      </c>
      <c r="E1982" s="4" t="str">
        <f>"Empregador"</f>
        <v>Empregador</v>
      </c>
    </row>
    <row r="1983" spans="1:5">
      <c r="A1983" s="4" t="str">
        <f t="shared" si="144"/>
        <v>9</v>
      </c>
      <c r="B1983" s="4" t="str">
        <f>"MARIA ANELICE DOS SANTOS DE ARAUJO"</f>
        <v>MARIA ANELICE DOS SANTOS DE ARAUJO</v>
      </c>
      <c r="C1983" s="4" t="str">
        <f>"AUX TECNICO ADMINISTRATIVO"</f>
        <v>AUX TECNICO ADMINISTRATIVO</v>
      </c>
      <c r="D1983" s="5">
        <v>910</v>
      </c>
      <c r="E1983" s="4" t="str">
        <f t="shared" ref="E1983:E1990" si="146">"Funcionário"</f>
        <v>Funcionário</v>
      </c>
    </row>
    <row r="1984" spans="1:5">
      <c r="A1984" s="4" t="str">
        <f t="shared" si="144"/>
        <v>9</v>
      </c>
      <c r="B1984" s="4" t="str">
        <f>"MARIA APARECIDA CARDOSO"</f>
        <v>MARIA APARECIDA CARDOSO</v>
      </c>
      <c r="C1984" s="4" t="str">
        <f>"ASSESSOR ESPECIAL II"</f>
        <v>ASSESSOR ESPECIAL II</v>
      </c>
      <c r="D1984" s="5">
        <v>901</v>
      </c>
      <c r="E1984" s="4" t="str">
        <f t="shared" si="146"/>
        <v>Funcionário</v>
      </c>
    </row>
    <row r="1985" spans="1:5">
      <c r="A1985" s="4" t="str">
        <f t="shared" si="144"/>
        <v>9</v>
      </c>
      <c r="B1985" s="4" t="str">
        <f>"MARIA CRISTINA DA CRUZ DE CARVALHO"</f>
        <v>MARIA CRISTINA DA CRUZ DE CARVALHO</v>
      </c>
      <c r="C1985" s="4" t="str">
        <f>"TECNICO ADM ESPECIALIZADO"</f>
        <v>TECNICO ADM ESPECIALIZADO</v>
      </c>
      <c r="D1985" s="5">
        <v>900</v>
      </c>
      <c r="E1985" s="4" t="str">
        <f t="shared" si="146"/>
        <v>Funcionário</v>
      </c>
    </row>
    <row r="1986" spans="1:5">
      <c r="A1986" s="4" t="str">
        <f t="shared" si="144"/>
        <v>9</v>
      </c>
      <c r="B1986" s="4" t="str">
        <f>"MARIA DE FATIMA DA SILVA CORTES"</f>
        <v>MARIA DE FATIMA DA SILVA CORTES</v>
      </c>
      <c r="C1986" s="4" t="str">
        <f>"AUX TECNICO ADMINISTRATIVO"</f>
        <v>AUX TECNICO ADMINISTRATIVO</v>
      </c>
      <c r="D1986" s="5">
        <v>910</v>
      </c>
      <c r="E1986" s="4" t="str">
        <f t="shared" si="146"/>
        <v>Funcionário</v>
      </c>
    </row>
    <row r="1987" spans="1:5">
      <c r="A1987" s="4" t="str">
        <f t="shared" si="144"/>
        <v>9</v>
      </c>
      <c r="B1987" s="4" t="str">
        <f>"MARIA DO SOCORRO ASSUNCAO NUNES"</f>
        <v>MARIA DO SOCORRO ASSUNCAO NUNES</v>
      </c>
      <c r="C1987" s="4" t="str">
        <f>"OFICIAL DE PRODUCAO INDUSTRIAL"</f>
        <v>OFICIAL DE PRODUCAO INDUSTRIAL</v>
      </c>
      <c r="D1987" s="5">
        <v>910</v>
      </c>
      <c r="E1987" s="4" t="str">
        <f t="shared" si="146"/>
        <v>Funcionário</v>
      </c>
    </row>
    <row r="1988" spans="1:5">
      <c r="A1988" s="4" t="str">
        <f t="shared" si="144"/>
        <v>9</v>
      </c>
      <c r="B1988" s="4" t="str">
        <f>"MARIA LUCILENE PEREIRA CASTRO"</f>
        <v>MARIA LUCILENE PEREIRA CASTRO</v>
      </c>
      <c r="C1988" s="4" t="str">
        <f>"TECNICO ADM ESPECIALIZADO"</f>
        <v>TECNICO ADM ESPECIALIZADO</v>
      </c>
      <c r="D1988" s="5">
        <v>910</v>
      </c>
      <c r="E1988" s="4" t="str">
        <f t="shared" si="146"/>
        <v>Funcionário</v>
      </c>
    </row>
    <row r="1989" spans="1:5">
      <c r="A1989" s="4" t="str">
        <f t="shared" si="144"/>
        <v>9</v>
      </c>
      <c r="B1989" s="4" t="str">
        <f>"MARIA MOEZIA RUDAVIA DE OLIVEIRA MIRANDA"</f>
        <v>MARIA MOEZIA RUDAVIA DE OLIVEIRA MIRANDA</v>
      </c>
      <c r="C1989" s="4" t="str">
        <f>"ESPECIALISTA"</f>
        <v>ESPECIALISTA</v>
      </c>
      <c r="D1989" s="5">
        <v>900</v>
      </c>
      <c r="E1989" s="4" t="str">
        <f t="shared" si="146"/>
        <v>Funcionário</v>
      </c>
    </row>
    <row r="1990" spans="1:5">
      <c r="A1990" s="4" t="str">
        <f t="shared" si="144"/>
        <v>9</v>
      </c>
      <c r="B1990" s="4" t="str">
        <f>"MARIA RAIMUNDA SILVA DA HORA"</f>
        <v>MARIA RAIMUNDA SILVA DA HORA</v>
      </c>
      <c r="C1990" s="4" t="str">
        <f>"OFICIAL DE PRODUCAO INDUSTRIAL"</f>
        <v>OFICIAL DE PRODUCAO INDUSTRIAL</v>
      </c>
      <c r="D1990" s="5">
        <v>910</v>
      </c>
      <c r="E1990" s="4" t="str">
        <f t="shared" si="146"/>
        <v>Funcionário</v>
      </c>
    </row>
    <row r="1991" spans="1:5">
      <c r="A1991" s="4" t="str">
        <f t="shared" si="144"/>
        <v>9</v>
      </c>
      <c r="B1991" s="4" t="str">
        <f>"MARIA ZITA RIBEIRO DA SILVA SILVA"</f>
        <v>MARIA ZITA RIBEIRO DA SILVA SILVA</v>
      </c>
      <c r="C1991" s="4" t="str">
        <f>"OFICIAL DE PRODUCAO INDUSTRIAL"</f>
        <v>OFICIAL DE PRODUCAO INDUSTRIAL</v>
      </c>
      <c r="D1991" s="5">
        <v>910</v>
      </c>
      <c r="E1991" s="4" t="str">
        <f>"Aposentado"</f>
        <v>Aposentado</v>
      </c>
    </row>
    <row r="1992" spans="1:5">
      <c r="A1992" s="4" t="str">
        <f t="shared" ref="A1992:A2023" si="147">"9"</f>
        <v>9</v>
      </c>
      <c r="B1992" s="4" t="str">
        <f>"MARIA ZIZINHA RODRIGUES DA CRUZ"</f>
        <v>MARIA ZIZINHA RODRIGUES DA CRUZ</v>
      </c>
      <c r="C1992" s="4" t="str">
        <f>"AUXILIAR TECNICO INDUSTRIAL"</f>
        <v>AUXILIAR TECNICO INDUSTRIAL</v>
      </c>
      <c r="D1992" s="5">
        <v>900</v>
      </c>
      <c r="E1992" s="4" t="str">
        <f>"Funcionário"</f>
        <v>Funcionário</v>
      </c>
    </row>
    <row r="1993" spans="1:5">
      <c r="A1993" s="4" t="str">
        <f t="shared" si="147"/>
        <v>9</v>
      </c>
      <c r="B1993" s="4" t="str">
        <f>"MARIO ANTONIO PINTO CAVALCANTE"</f>
        <v>MARIO ANTONIO PINTO CAVALCANTE</v>
      </c>
      <c r="C1993" s="4" t="str">
        <f>"ASSESSOR CHEFE I"</f>
        <v>ASSESSOR CHEFE I</v>
      </c>
      <c r="D1993" s="5">
        <v>901</v>
      </c>
      <c r="E1993" s="4" t="str">
        <f>"Funcionário"</f>
        <v>Funcionário</v>
      </c>
    </row>
    <row r="1994" spans="1:5">
      <c r="A1994" s="4" t="str">
        <f t="shared" si="147"/>
        <v>9</v>
      </c>
      <c r="B1994" s="4" t="str">
        <f>"MARIO CEZAR ALVES PINHO JUNIOR"</f>
        <v>MARIO CEZAR ALVES PINHO JUNIOR</v>
      </c>
      <c r="C1994" s="4" t="str">
        <f>"ASSESSOR III"</f>
        <v>ASSESSOR III</v>
      </c>
      <c r="D1994" s="5">
        <v>901</v>
      </c>
      <c r="E1994" s="4" t="str">
        <f>"Funcionário"</f>
        <v>Funcionário</v>
      </c>
    </row>
    <row r="1995" spans="1:5">
      <c r="A1995" s="4" t="str">
        <f t="shared" si="147"/>
        <v>9</v>
      </c>
      <c r="B1995" s="4" t="str">
        <f>"MARIO DE CARVALHO NETO"</f>
        <v>MARIO DE CARVALHO NETO</v>
      </c>
      <c r="C1995" s="4" t="str">
        <f>"ASSESSOR CHEFE II"</f>
        <v>ASSESSOR CHEFE II</v>
      </c>
      <c r="D1995" s="5">
        <v>901</v>
      </c>
      <c r="E1995" s="4" t="str">
        <f>"Funcionário"</f>
        <v>Funcionário</v>
      </c>
    </row>
    <row r="1996" spans="1:5">
      <c r="A1996" s="4" t="str">
        <f t="shared" si="147"/>
        <v>9</v>
      </c>
      <c r="B1996" s="4" t="str">
        <f>"MARLENE LIRA GUEDES"</f>
        <v>MARLENE LIRA GUEDES</v>
      </c>
      <c r="C1996" s="4" t="str">
        <f>"AUX TECNICO ADMINISTRATIVO"</f>
        <v>AUX TECNICO ADMINISTRATIVO</v>
      </c>
      <c r="D1996" s="5">
        <v>910</v>
      </c>
      <c r="E1996" s="4" t="str">
        <f>"Aposentado"</f>
        <v>Aposentado</v>
      </c>
    </row>
    <row r="1997" spans="1:5">
      <c r="A1997" s="4" t="str">
        <f t="shared" si="147"/>
        <v>9</v>
      </c>
      <c r="B1997" s="4" t="str">
        <f>"MARLUCE ALVES DA CRUZ"</f>
        <v>MARLUCE ALVES DA CRUZ</v>
      </c>
      <c r="C1997" s="4" t="str">
        <f>"TECNICO ADM ESPECIALIZADO"</f>
        <v>TECNICO ADM ESPECIALIZADO</v>
      </c>
      <c r="D1997" s="5">
        <v>900</v>
      </c>
      <c r="E1997" s="4" t="str">
        <f t="shared" ref="E1997:E2005" si="148">"Funcionário"</f>
        <v>Funcionário</v>
      </c>
    </row>
    <row r="1998" spans="1:5">
      <c r="A1998" s="4" t="str">
        <f t="shared" si="147"/>
        <v>9</v>
      </c>
      <c r="B1998" s="4" t="str">
        <f>"MATEUS ALVES DE OLIVEIRA"</f>
        <v>MATEUS ALVES DE OLIVEIRA</v>
      </c>
      <c r="C1998" s="4" t="str">
        <f>"TECNICO ADM ESPECIALIZADO"</f>
        <v>TECNICO ADM ESPECIALIZADO</v>
      </c>
      <c r="D1998" s="5">
        <v>900</v>
      </c>
      <c r="E1998" s="4" t="str">
        <f t="shared" si="148"/>
        <v>Funcionário</v>
      </c>
    </row>
    <row r="1999" spans="1:5">
      <c r="A1999" s="4" t="str">
        <f t="shared" si="147"/>
        <v>9</v>
      </c>
      <c r="B1999" s="4" t="str">
        <f>"MATEUS WILLIAM RODRIGUES MELO"</f>
        <v>MATEUS WILLIAM RODRIGUES MELO</v>
      </c>
      <c r="C1999" s="4" t="str">
        <f>"ESPECIALISTA"</f>
        <v>ESPECIALISTA</v>
      </c>
      <c r="D1999" s="5">
        <v>900</v>
      </c>
      <c r="E1999" s="4" t="str">
        <f t="shared" si="148"/>
        <v>Funcionário</v>
      </c>
    </row>
    <row r="2000" spans="1:5">
      <c r="A2000" s="4" t="str">
        <f t="shared" si="147"/>
        <v>9</v>
      </c>
      <c r="B2000" s="4" t="str">
        <f>"MAURO AMORIM D ALBUQUERQUE LIMA"</f>
        <v>MAURO AMORIM D ALBUQUERQUE LIMA</v>
      </c>
      <c r="C2000" s="4" t="str">
        <f>"ESPECIALISTA"</f>
        <v>ESPECIALISTA</v>
      </c>
      <c r="D2000" s="5">
        <v>900</v>
      </c>
      <c r="E2000" s="4" t="str">
        <f t="shared" si="148"/>
        <v>Funcionário</v>
      </c>
    </row>
    <row r="2001" spans="1:5">
      <c r="A2001" s="4" t="str">
        <f t="shared" si="147"/>
        <v>9</v>
      </c>
      <c r="B2001" s="4" t="str">
        <f>"MAYARA GABI MOREIRA"</f>
        <v>MAYARA GABI MOREIRA</v>
      </c>
      <c r="C2001" s="4" t="str">
        <f>"ENGENHEIRO"</f>
        <v>ENGENHEIRO</v>
      </c>
      <c r="D2001" s="5">
        <v>900</v>
      </c>
      <c r="E2001" s="4" t="str">
        <f t="shared" si="148"/>
        <v>Funcionário</v>
      </c>
    </row>
    <row r="2002" spans="1:5">
      <c r="A2002" s="4" t="str">
        <f t="shared" si="147"/>
        <v>9</v>
      </c>
      <c r="B2002" s="4" t="str">
        <f>"MELQUISEDEQUE DA SILVA VIEIRA"</f>
        <v>MELQUISEDEQUE DA SILVA VIEIRA</v>
      </c>
      <c r="C2002" s="4" t="str">
        <f>"ESPECIALISTA"</f>
        <v>ESPECIALISTA</v>
      </c>
      <c r="D2002" s="5">
        <v>900</v>
      </c>
      <c r="E2002" s="4" t="str">
        <f t="shared" si="148"/>
        <v>Funcionário</v>
      </c>
    </row>
    <row r="2003" spans="1:5">
      <c r="A2003" s="4" t="str">
        <f t="shared" si="147"/>
        <v>9</v>
      </c>
      <c r="B2003" s="4" t="str">
        <f>"MICHELI PEREIRA CUNHA"</f>
        <v>MICHELI PEREIRA CUNHA</v>
      </c>
      <c r="C2003" s="4" t="str">
        <f>"ESPECIALISTA"</f>
        <v>ESPECIALISTA</v>
      </c>
      <c r="D2003" s="5">
        <v>900</v>
      </c>
      <c r="E2003" s="4" t="str">
        <f t="shared" si="148"/>
        <v>Funcionário</v>
      </c>
    </row>
    <row r="2004" spans="1:5">
      <c r="A2004" s="4" t="str">
        <f t="shared" si="147"/>
        <v>9</v>
      </c>
      <c r="B2004" s="4" t="str">
        <f>"MILTON ROGERIO ROSA DE OLIVEIRA"</f>
        <v>MILTON ROGERIO ROSA DE OLIVEIRA</v>
      </c>
      <c r="C2004" s="4" t="str">
        <f>"MILITAR DA ATIVA"</f>
        <v>MILITAR DA ATIVA</v>
      </c>
      <c r="D2004" s="5">
        <v>906</v>
      </c>
      <c r="E2004" s="4" t="str">
        <f t="shared" si="148"/>
        <v>Funcionário</v>
      </c>
    </row>
    <row r="2005" spans="1:5">
      <c r="A2005" s="4" t="str">
        <f t="shared" si="147"/>
        <v>9</v>
      </c>
      <c r="B2005" s="4" t="str">
        <f>"MURILO SOBRINHO FRANKLIN"</f>
        <v>MURILO SOBRINHO FRANKLIN</v>
      </c>
      <c r="C2005" s="4" t="str">
        <f>"ENGENHEIRO"</f>
        <v>ENGENHEIRO</v>
      </c>
      <c r="D2005" s="5">
        <v>900</v>
      </c>
      <c r="E2005" s="4" t="str">
        <f t="shared" si="148"/>
        <v>Funcionário</v>
      </c>
    </row>
    <row r="2006" spans="1:5">
      <c r="A2006" s="4" t="str">
        <f t="shared" si="147"/>
        <v>9</v>
      </c>
      <c r="B2006" s="4" t="str">
        <f>"NALI DA COSTA RODRIGUES"</f>
        <v>NALI DA COSTA RODRIGUES</v>
      </c>
      <c r="C2006" s="4" t="str">
        <f>"TEC INDUSTRIAL ESPECIALIZADO"</f>
        <v>TEC INDUSTRIAL ESPECIALIZADO</v>
      </c>
      <c r="D2006" s="5">
        <v>900</v>
      </c>
      <c r="E2006" s="4" t="str">
        <f>"Aposentado"</f>
        <v>Aposentado</v>
      </c>
    </row>
    <row r="2007" spans="1:5">
      <c r="A2007" s="4" t="str">
        <f t="shared" si="147"/>
        <v>9</v>
      </c>
      <c r="B2007" s="4" t="str">
        <f>"OLYNTHO ALVES GOMES DE SA"</f>
        <v>OLYNTHO ALVES GOMES DE SA</v>
      </c>
      <c r="C2007" s="4" t="str">
        <f>"CHEFE DE DEPARTAMENTO I"</f>
        <v>CHEFE DE DEPARTAMENTO I</v>
      </c>
      <c r="D2007" s="5">
        <v>901</v>
      </c>
      <c r="E2007" s="4" t="str">
        <f t="shared" ref="E2007:E2025" si="149">"Funcionário"</f>
        <v>Funcionário</v>
      </c>
    </row>
    <row r="2008" spans="1:5">
      <c r="A2008" s="4" t="str">
        <f t="shared" si="147"/>
        <v>9</v>
      </c>
      <c r="B2008" s="4" t="str">
        <f>"OSVALDINA MARIA DAS GRACAS SANTOS"</f>
        <v>OSVALDINA MARIA DAS GRACAS SANTOS</v>
      </c>
      <c r="C2008" s="4" t="str">
        <f>"TECNICO ADM ESPECIALIZADO"</f>
        <v>TECNICO ADM ESPECIALIZADO</v>
      </c>
      <c r="D2008" s="5">
        <v>900</v>
      </c>
      <c r="E2008" s="4" t="str">
        <f t="shared" si="149"/>
        <v>Funcionário</v>
      </c>
    </row>
    <row r="2009" spans="1:5">
      <c r="A2009" s="4" t="str">
        <f t="shared" si="147"/>
        <v>9</v>
      </c>
      <c r="B2009" s="4" t="str">
        <f>"PABLO CARLOS DE SOUZA COSTA"</f>
        <v>PABLO CARLOS DE SOUZA COSTA</v>
      </c>
      <c r="C2009" s="4" t="str">
        <f>"ASSESSOR II"</f>
        <v>ASSESSOR II</v>
      </c>
      <c r="D2009" s="5">
        <v>901</v>
      </c>
      <c r="E2009" s="4" t="str">
        <f t="shared" si="149"/>
        <v>Funcionário</v>
      </c>
    </row>
    <row r="2010" spans="1:5">
      <c r="A2010" s="4" t="str">
        <f t="shared" si="147"/>
        <v>9</v>
      </c>
      <c r="B2010" s="4" t="str">
        <f>"PAOLA VARELA DELFINO"</f>
        <v>PAOLA VARELA DELFINO</v>
      </c>
      <c r="C2010" s="4" t="str">
        <f>"ENGENHEIRO"</f>
        <v>ENGENHEIRO</v>
      </c>
      <c r="D2010" s="5">
        <v>900</v>
      </c>
      <c r="E2010" s="4" t="str">
        <f t="shared" si="149"/>
        <v>Funcionário</v>
      </c>
    </row>
    <row r="2011" spans="1:5">
      <c r="A2011" s="4" t="str">
        <f t="shared" si="147"/>
        <v>9</v>
      </c>
      <c r="B2011" s="4" t="str">
        <f>"PAULA VALLERIA COSTA DO N. DE OLIVEIRA"</f>
        <v>PAULA VALLERIA COSTA DO N. DE OLIVEIRA</v>
      </c>
      <c r="C2011" s="4" t="str">
        <f>"ANALISTA ESPECIALIZADO"</f>
        <v>ANALISTA ESPECIALIZADO</v>
      </c>
      <c r="D2011" s="5">
        <v>900</v>
      </c>
      <c r="E2011" s="4" t="str">
        <f t="shared" si="149"/>
        <v>Funcionário</v>
      </c>
    </row>
    <row r="2012" spans="1:5">
      <c r="A2012" s="4" t="str">
        <f t="shared" si="147"/>
        <v>9</v>
      </c>
      <c r="B2012" s="4" t="str">
        <f>"PAULO CICERO JACINTO DE MENEZES"</f>
        <v>PAULO CICERO JACINTO DE MENEZES</v>
      </c>
      <c r="C2012" s="4" t="str">
        <f>"CHEFE DE UNIDADE III"</f>
        <v>CHEFE DE UNIDADE III</v>
      </c>
      <c r="D2012" s="5">
        <v>901</v>
      </c>
      <c r="E2012" s="4" t="str">
        <f t="shared" si="149"/>
        <v>Funcionário</v>
      </c>
    </row>
    <row r="2013" spans="1:5">
      <c r="A2013" s="4" t="str">
        <f t="shared" si="147"/>
        <v>9</v>
      </c>
      <c r="B2013" s="4" t="str">
        <f>"PAULO LEONARDO PEREIRA DA SILVA"</f>
        <v>PAULO LEONARDO PEREIRA DA SILVA</v>
      </c>
      <c r="C2013" s="4" t="str">
        <f>"ANALISTA ESPECIALIZADO"</f>
        <v>ANALISTA ESPECIALIZADO</v>
      </c>
      <c r="D2013" s="5">
        <v>900</v>
      </c>
      <c r="E2013" s="4" t="str">
        <f t="shared" si="149"/>
        <v>Funcionário</v>
      </c>
    </row>
    <row r="2014" spans="1:5">
      <c r="A2014" s="4" t="str">
        <f t="shared" si="147"/>
        <v>9</v>
      </c>
      <c r="B2014" s="4" t="str">
        <f>"PEDRO HENRIQUE ALVES CORREA"</f>
        <v>PEDRO HENRIQUE ALVES CORREA</v>
      </c>
      <c r="C2014" s="4" t="str">
        <f>"ANALISTA ESPECIALIZADO"</f>
        <v>ANALISTA ESPECIALIZADO</v>
      </c>
      <c r="D2014" s="5">
        <v>900</v>
      </c>
      <c r="E2014" s="4" t="str">
        <f t="shared" si="149"/>
        <v>Funcionário</v>
      </c>
    </row>
    <row r="2015" spans="1:5">
      <c r="A2015" s="4" t="str">
        <f t="shared" si="147"/>
        <v>9</v>
      </c>
      <c r="B2015" s="4" t="str">
        <f>"PIO PINHEIRO COSTA"</f>
        <v>PIO PINHEIRO COSTA</v>
      </c>
      <c r="C2015" s="4" t="str">
        <f>"TECNICO ADM ESPECIALIZADO"</f>
        <v>TECNICO ADM ESPECIALIZADO</v>
      </c>
      <c r="D2015" s="5">
        <v>910</v>
      </c>
      <c r="E2015" s="4" t="str">
        <f t="shared" si="149"/>
        <v>Funcionário</v>
      </c>
    </row>
    <row r="2016" spans="1:5">
      <c r="A2016" s="4" t="str">
        <f t="shared" si="147"/>
        <v>9</v>
      </c>
      <c r="B2016" s="4" t="str">
        <f>"POLLYANE CUNHA RODRIGUES DA COSTA"</f>
        <v>POLLYANE CUNHA RODRIGUES DA COSTA</v>
      </c>
      <c r="C2016" s="4" t="str">
        <f>"ASSESSOR I"</f>
        <v>ASSESSOR I</v>
      </c>
      <c r="D2016" s="5">
        <v>901</v>
      </c>
      <c r="E2016" s="4" t="str">
        <f t="shared" si="149"/>
        <v>Funcionário</v>
      </c>
    </row>
    <row r="2017" spans="1:5">
      <c r="A2017" s="4" t="str">
        <f t="shared" si="147"/>
        <v>9</v>
      </c>
      <c r="B2017" s="4" t="str">
        <f>"RAIMUNDO SILVA SANTOS"</f>
        <v>RAIMUNDO SILVA SANTOS</v>
      </c>
      <c r="C2017" s="4" t="str">
        <f>"AUX TECNICO ADMINISTRATIVO"</f>
        <v>AUX TECNICO ADMINISTRATIVO</v>
      </c>
      <c r="D2017" s="5">
        <v>910</v>
      </c>
      <c r="E2017" s="4" t="str">
        <f t="shared" si="149"/>
        <v>Funcionário</v>
      </c>
    </row>
    <row r="2018" spans="1:5">
      <c r="A2018" s="4" t="str">
        <f t="shared" si="147"/>
        <v>9</v>
      </c>
      <c r="B2018" s="4" t="str">
        <f>"RAQUEL CRISTINA DE LIMA BRUNING"</f>
        <v>RAQUEL CRISTINA DE LIMA BRUNING</v>
      </c>
      <c r="C2018" s="4" t="str">
        <f>"ESPECIALISTA"</f>
        <v>ESPECIALISTA</v>
      </c>
      <c r="D2018" s="5">
        <v>900</v>
      </c>
      <c r="E2018" s="4" t="str">
        <f t="shared" si="149"/>
        <v>Funcionário</v>
      </c>
    </row>
    <row r="2019" spans="1:5">
      <c r="A2019" s="4" t="str">
        <f t="shared" si="147"/>
        <v>9</v>
      </c>
      <c r="B2019" s="4" t="str">
        <f>"RAQUEL MAGALHAES LOPES"</f>
        <v>RAQUEL MAGALHAES LOPES</v>
      </c>
      <c r="C2019" s="4" t="str">
        <f>"ESPECIALISTA"</f>
        <v>ESPECIALISTA</v>
      </c>
      <c r="D2019" s="5">
        <v>900</v>
      </c>
      <c r="E2019" s="4" t="str">
        <f t="shared" si="149"/>
        <v>Funcionário</v>
      </c>
    </row>
    <row r="2020" spans="1:5">
      <c r="A2020" s="4" t="str">
        <f t="shared" si="147"/>
        <v>9</v>
      </c>
      <c r="B2020" s="4" t="str">
        <f>"RAQUEL TAVARES DE OLIVEIRA"</f>
        <v>RAQUEL TAVARES DE OLIVEIRA</v>
      </c>
      <c r="C2020" s="4" t="str">
        <f>"ANALISTA ESPECIALIZADO"</f>
        <v>ANALISTA ESPECIALIZADO</v>
      </c>
      <c r="D2020" s="5">
        <v>900</v>
      </c>
      <c r="E2020" s="4" t="str">
        <f t="shared" si="149"/>
        <v>Funcionário</v>
      </c>
    </row>
    <row r="2021" spans="1:5">
      <c r="A2021" s="4" t="str">
        <f t="shared" si="147"/>
        <v>9</v>
      </c>
      <c r="B2021" s="4" t="str">
        <f>"RAYSSA MONTE SERRA"</f>
        <v>RAYSSA MONTE SERRA</v>
      </c>
      <c r="C2021" s="4" t="str">
        <f>"ANALISTA ESPECIALIZADO"</f>
        <v>ANALISTA ESPECIALIZADO</v>
      </c>
      <c r="D2021" s="5">
        <v>900</v>
      </c>
      <c r="E2021" s="4" t="str">
        <f t="shared" si="149"/>
        <v>Funcionário</v>
      </c>
    </row>
    <row r="2022" spans="1:5">
      <c r="A2022" s="4" t="str">
        <f t="shared" si="147"/>
        <v>9</v>
      </c>
      <c r="B2022" s="4" t="str">
        <f>"REGINA CELIA TEIXEIRA DE SOUSA"</f>
        <v>REGINA CELIA TEIXEIRA DE SOUSA</v>
      </c>
      <c r="C2022" s="4" t="str">
        <f>"ANALISTA ESPECIALIZADO"</f>
        <v>ANALISTA ESPECIALIZADO</v>
      </c>
      <c r="D2022" s="5">
        <v>900</v>
      </c>
      <c r="E2022" s="4" t="str">
        <f t="shared" si="149"/>
        <v>Funcionário</v>
      </c>
    </row>
    <row r="2023" spans="1:5">
      <c r="A2023" s="4" t="str">
        <f t="shared" si="147"/>
        <v>9</v>
      </c>
      <c r="B2023" s="4" t="str">
        <f>"REGINALDO TRINDADE LISBOA"</f>
        <v>REGINALDO TRINDADE LISBOA</v>
      </c>
      <c r="C2023" s="4" t="str">
        <f>"ASSESSOR ESPECIAL III"</f>
        <v>ASSESSOR ESPECIAL III</v>
      </c>
      <c r="D2023" s="5">
        <v>901</v>
      </c>
      <c r="E2023" s="4" t="str">
        <f t="shared" si="149"/>
        <v>Funcionário</v>
      </c>
    </row>
    <row r="2024" spans="1:5">
      <c r="A2024" s="4" t="str">
        <f t="shared" ref="A2024:A2054" si="150">"9"</f>
        <v>9</v>
      </c>
      <c r="B2024" s="4" t="str">
        <f>"RENATA GOMES MIHARA"</f>
        <v>RENATA GOMES MIHARA</v>
      </c>
      <c r="C2024" s="4" t="str">
        <f>"ESPECIALISTA"</f>
        <v>ESPECIALISTA</v>
      </c>
      <c r="D2024" s="5">
        <v>900</v>
      </c>
      <c r="E2024" s="4" t="str">
        <f t="shared" si="149"/>
        <v>Funcionário</v>
      </c>
    </row>
    <row r="2025" spans="1:5">
      <c r="A2025" s="4" t="str">
        <f t="shared" si="150"/>
        <v>9</v>
      </c>
      <c r="B2025" s="4" t="str">
        <f>"RENE DELLAGNEZZE"</f>
        <v>RENE DELLAGNEZZE</v>
      </c>
      <c r="C2025" s="4" t="str">
        <f>"ASSESSOR CHEFE II"</f>
        <v>ASSESSOR CHEFE II</v>
      </c>
      <c r="D2025" s="5">
        <v>901</v>
      </c>
      <c r="E2025" s="4" t="str">
        <f t="shared" si="149"/>
        <v>Funcionário</v>
      </c>
    </row>
    <row r="2026" spans="1:5">
      <c r="A2026" s="4" t="str">
        <f t="shared" si="150"/>
        <v>9</v>
      </c>
      <c r="B2026" s="4" t="str">
        <f>"RICARDO DE MELLO ARAUJO"</f>
        <v>RICARDO DE MELLO ARAUJO</v>
      </c>
      <c r="C2026" s="4" t="str">
        <f>"MEMBRO DO COMITÊ DE AUDITORIA"</f>
        <v>MEMBRO DO COMITÊ DE AUDITORIA</v>
      </c>
      <c r="D2026" s="5">
        <v>916</v>
      </c>
      <c r="E2026" s="4" t="str">
        <f>"Empregador"</f>
        <v>Empregador</v>
      </c>
    </row>
    <row r="2027" spans="1:5">
      <c r="A2027" s="4" t="str">
        <f t="shared" si="150"/>
        <v>9</v>
      </c>
      <c r="B2027" s="4" t="str">
        <f>"RICARDO RODRIGUES CANHACI"</f>
        <v>RICARDO RODRIGUES CANHACI</v>
      </c>
      <c r="C2027" s="4" t="str">
        <f>"PRESIDENTE"</f>
        <v>PRESIDENTE</v>
      </c>
      <c r="D2027" s="5">
        <v>902</v>
      </c>
      <c r="E2027" s="4" t="str">
        <f>"Empregador"</f>
        <v>Empregador</v>
      </c>
    </row>
    <row r="2028" spans="1:5">
      <c r="A2028" s="4" t="str">
        <f t="shared" si="150"/>
        <v>9</v>
      </c>
      <c r="B2028" s="4" t="str">
        <f>"RILDO CESAR DE ABREU"</f>
        <v>RILDO CESAR DE ABREU</v>
      </c>
      <c r="C2028" s="4" t="str">
        <f>"MILITAR DA ATIVA"</f>
        <v>MILITAR DA ATIVA</v>
      </c>
      <c r="D2028" s="5">
        <v>906</v>
      </c>
      <c r="E2028" s="4" t="str">
        <f>"Funcionário"</f>
        <v>Funcionário</v>
      </c>
    </row>
    <row r="2029" spans="1:5">
      <c r="A2029" s="4" t="str">
        <f t="shared" si="150"/>
        <v>9</v>
      </c>
      <c r="B2029" s="4" t="str">
        <f>"RODRIGO ESTRELA DE CARVALHO"</f>
        <v>RODRIGO ESTRELA DE CARVALHO</v>
      </c>
      <c r="C2029" s="4" t="str">
        <f>"MEMBRO DO CONSELHO ADM/FISCAL"</f>
        <v>MEMBRO DO CONSELHO ADM/FISCAL</v>
      </c>
      <c r="D2029" s="5">
        <v>916</v>
      </c>
      <c r="E2029" s="4" t="str">
        <f>"Empregador"</f>
        <v>Empregador</v>
      </c>
    </row>
    <row r="2030" spans="1:5">
      <c r="A2030" s="4" t="str">
        <f t="shared" si="150"/>
        <v>9</v>
      </c>
      <c r="B2030" s="4" t="str">
        <f>"ROMIL SILVA AMORIM"</f>
        <v>ROMIL SILVA AMORIM</v>
      </c>
      <c r="C2030" s="4" t="str">
        <f>"MOTORISTA"</f>
        <v>MOTORISTA</v>
      </c>
      <c r="D2030" s="5">
        <v>910</v>
      </c>
      <c r="E2030" s="4" t="str">
        <f t="shared" ref="E2030:E2042" si="151">"Funcionário"</f>
        <v>Funcionário</v>
      </c>
    </row>
    <row r="2031" spans="1:5">
      <c r="A2031" s="4" t="str">
        <f t="shared" si="150"/>
        <v>9</v>
      </c>
      <c r="B2031" s="4" t="str">
        <f>"ROSENI LIMA ALVES"</f>
        <v>ROSENI LIMA ALVES</v>
      </c>
      <c r="C2031" s="4" t="str">
        <f>"AUX TECNICO ADMINISTRATIVO"</f>
        <v>AUX TECNICO ADMINISTRATIVO</v>
      </c>
      <c r="D2031" s="5">
        <v>900</v>
      </c>
      <c r="E2031" s="4" t="str">
        <f t="shared" si="151"/>
        <v>Funcionário</v>
      </c>
    </row>
    <row r="2032" spans="1:5">
      <c r="A2032" s="4" t="str">
        <f t="shared" si="150"/>
        <v>9</v>
      </c>
      <c r="B2032" s="4" t="str">
        <f>"SANDRA MARIA BRITO MACHADO"</f>
        <v>SANDRA MARIA BRITO MACHADO</v>
      </c>
      <c r="C2032" s="4" t="str">
        <f>"AUX TECNICO ADMINISTRATIVO"</f>
        <v>AUX TECNICO ADMINISTRATIVO</v>
      </c>
      <c r="D2032" s="5">
        <v>910</v>
      </c>
      <c r="E2032" s="4" t="str">
        <f t="shared" si="151"/>
        <v>Funcionário</v>
      </c>
    </row>
    <row r="2033" spans="1:5">
      <c r="A2033" s="4" t="str">
        <f t="shared" si="150"/>
        <v>9</v>
      </c>
      <c r="B2033" s="4" t="str">
        <f>"SELMA RIBEIRO COUTINHO"</f>
        <v>SELMA RIBEIRO COUTINHO</v>
      </c>
      <c r="C2033" s="4" t="str">
        <f>"OFICIAL DE PRODUCAO INDUSTRIAL"</f>
        <v>OFICIAL DE PRODUCAO INDUSTRIAL</v>
      </c>
      <c r="D2033" s="5">
        <v>910</v>
      </c>
      <c r="E2033" s="4" t="str">
        <f t="shared" si="151"/>
        <v>Funcionário</v>
      </c>
    </row>
    <row r="2034" spans="1:5">
      <c r="A2034" s="4" t="str">
        <f t="shared" si="150"/>
        <v>9</v>
      </c>
      <c r="B2034" s="4" t="str">
        <f>"SHEILA ALENCAR DOS SANTOS"</f>
        <v>SHEILA ALENCAR DOS SANTOS</v>
      </c>
      <c r="C2034" s="4" t="str">
        <f>"ANALISTA ESPECIALIZADO"</f>
        <v>ANALISTA ESPECIALIZADO</v>
      </c>
      <c r="D2034" s="5">
        <v>900</v>
      </c>
      <c r="E2034" s="4" t="str">
        <f t="shared" si="151"/>
        <v>Funcionário</v>
      </c>
    </row>
    <row r="2035" spans="1:5">
      <c r="A2035" s="4" t="str">
        <f t="shared" si="150"/>
        <v>9</v>
      </c>
      <c r="B2035" s="4" t="str">
        <f>"SIDNEY GOMES DE OLIVEIRA"</f>
        <v>SIDNEY GOMES DE OLIVEIRA</v>
      </c>
      <c r="C2035" s="4" t="str">
        <f>"AUX TECNICO ADMINISTRATIVO"</f>
        <v>AUX TECNICO ADMINISTRATIVO</v>
      </c>
      <c r="D2035" s="5">
        <v>900</v>
      </c>
      <c r="E2035" s="4" t="str">
        <f t="shared" si="151"/>
        <v>Funcionário</v>
      </c>
    </row>
    <row r="2036" spans="1:5">
      <c r="A2036" s="4" t="str">
        <f t="shared" si="150"/>
        <v>9</v>
      </c>
      <c r="B2036" s="4" t="str">
        <f>"SONIA MARIA SILVA PEREIRA"</f>
        <v>SONIA MARIA SILVA PEREIRA</v>
      </c>
      <c r="C2036" s="4" t="str">
        <f>"OFICIAL DE PRODUCAO INDUSTRIAL"</f>
        <v>OFICIAL DE PRODUCAO INDUSTRIAL</v>
      </c>
      <c r="D2036" s="5">
        <v>900</v>
      </c>
      <c r="E2036" s="4" t="str">
        <f t="shared" si="151"/>
        <v>Funcionário</v>
      </c>
    </row>
    <row r="2037" spans="1:5">
      <c r="A2037" s="4" t="str">
        <f t="shared" si="150"/>
        <v>9</v>
      </c>
      <c r="B2037" s="4" t="str">
        <f>"STEFANNE CHRISTINNE ALVES G. MAGALHAES"</f>
        <v>STEFANNE CHRISTINNE ALVES G. MAGALHAES</v>
      </c>
      <c r="C2037" s="4" t="str">
        <f>"ESPECIALISTA"</f>
        <v>ESPECIALISTA</v>
      </c>
      <c r="D2037" s="5">
        <v>900</v>
      </c>
      <c r="E2037" s="4" t="str">
        <f t="shared" si="151"/>
        <v>Funcionário</v>
      </c>
    </row>
    <row r="2038" spans="1:5">
      <c r="A2038" s="4" t="str">
        <f t="shared" si="150"/>
        <v>9</v>
      </c>
      <c r="B2038" s="4" t="str">
        <f>"TAIS CARVALHO MARQUES"</f>
        <v>TAIS CARVALHO MARQUES</v>
      </c>
      <c r="C2038" s="4" t="str">
        <f>"ESPECIALISTA"</f>
        <v>ESPECIALISTA</v>
      </c>
      <c r="D2038" s="5">
        <v>900</v>
      </c>
      <c r="E2038" s="4" t="str">
        <f t="shared" si="151"/>
        <v>Funcionário</v>
      </c>
    </row>
    <row r="2039" spans="1:5">
      <c r="A2039" s="4" t="str">
        <f t="shared" si="150"/>
        <v>9</v>
      </c>
      <c r="B2039" s="4" t="str">
        <f>"TANIA MARIA MOREIRA DA COSTA"</f>
        <v>TANIA MARIA MOREIRA DA COSTA</v>
      </c>
      <c r="C2039" s="4" t="str">
        <f>"AUX TECNICO ADMINISTRATIVO"</f>
        <v>AUX TECNICO ADMINISTRATIVO</v>
      </c>
      <c r="D2039" s="5">
        <v>910</v>
      </c>
      <c r="E2039" s="4" t="str">
        <f t="shared" si="151"/>
        <v>Funcionário</v>
      </c>
    </row>
    <row r="2040" spans="1:5">
      <c r="A2040" s="4" t="str">
        <f t="shared" si="150"/>
        <v>9</v>
      </c>
      <c r="B2040" s="4" t="str">
        <f>"TARGINO FERREIRA"</f>
        <v>TARGINO FERREIRA</v>
      </c>
      <c r="C2040" s="4" t="str">
        <f>"AUX TECNICO ADMINISTRATIVO"</f>
        <v>AUX TECNICO ADMINISTRATIVO</v>
      </c>
      <c r="D2040" s="5">
        <v>910</v>
      </c>
      <c r="E2040" s="4" t="str">
        <f t="shared" si="151"/>
        <v>Funcionário</v>
      </c>
    </row>
    <row r="2041" spans="1:5">
      <c r="A2041" s="4" t="str">
        <f t="shared" si="150"/>
        <v>9</v>
      </c>
      <c r="B2041" s="4" t="str">
        <f>"THAIS OLIVEIRA ALVES"</f>
        <v>THAIS OLIVEIRA ALVES</v>
      </c>
      <c r="C2041" s="4" t="str">
        <f>"TECNICO ADM ESPECIALIZADO"</f>
        <v>TECNICO ADM ESPECIALIZADO</v>
      </c>
      <c r="D2041" s="5">
        <v>900</v>
      </c>
      <c r="E2041" s="4" t="str">
        <f t="shared" si="151"/>
        <v>Funcionário</v>
      </c>
    </row>
    <row r="2042" spans="1:5">
      <c r="A2042" s="4" t="str">
        <f t="shared" si="150"/>
        <v>9</v>
      </c>
      <c r="B2042" s="4" t="str">
        <f>"THALES AUGUSTO LELLIS VICARONE"</f>
        <v>THALES AUGUSTO LELLIS VICARONE</v>
      </c>
      <c r="C2042" s="4" t="str">
        <f>"ANALISTA ESPECIALIZADO"</f>
        <v>ANALISTA ESPECIALIZADO</v>
      </c>
      <c r="D2042" s="5">
        <v>900</v>
      </c>
      <c r="E2042" s="4" t="str">
        <f t="shared" si="151"/>
        <v>Funcionário</v>
      </c>
    </row>
    <row r="2043" spans="1:5">
      <c r="A2043" s="4" t="str">
        <f t="shared" si="150"/>
        <v>9</v>
      </c>
      <c r="B2043" s="4" t="str">
        <f>"THIERS LOBO RIBEIRO"</f>
        <v>THIERS LOBO RIBEIRO</v>
      </c>
      <c r="C2043" s="4" t="str">
        <f>"DIRETOR DE INOVAÇÃO"</f>
        <v>DIRETOR DE INOVAÇÃO</v>
      </c>
      <c r="D2043" s="5">
        <v>902</v>
      </c>
      <c r="E2043" s="4" t="str">
        <f>"Empregador"</f>
        <v>Empregador</v>
      </c>
    </row>
    <row r="2044" spans="1:5">
      <c r="A2044" s="4" t="str">
        <f t="shared" si="150"/>
        <v>9</v>
      </c>
      <c r="B2044" s="4" t="str">
        <f>"TIAGO LIMA IDELFONSO PEREIRA DE ARAUJO"</f>
        <v>TIAGO LIMA IDELFONSO PEREIRA DE ARAUJO</v>
      </c>
      <c r="C2044" s="4" t="str">
        <f>"CHEFE DE DIVISAO III"</f>
        <v>CHEFE DE DIVISAO III</v>
      </c>
      <c r="D2044" s="5">
        <v>901</v>
      </c>
      <c r="E2044" s="4" t="str">
        <f t="shared" ref="E2044:E2054" si="152">"Funcionário"</f>
        <v>Funcionário</v>
      </c>
    </row>
    <row r="2045" spans="1:5">
      <c r="A2045" s="4" t="str">
        <f t="shared" si="150"/>
        <v>9</v>
      </c>
      <c r="B2045" s="4" t="str">
        <f>"TOMAZ AUGUSTO GOULART LUCARINI"</f>
        <v>TOMAZ AUGUSTO GOULART LUCARINI</v>
      </c>
      <c r="C2045" s="4" t="str">
        <f>"MILITAR DA ATIVA"</f>
        <v>MILITAR DA ATIVA</v>
      </c>
      <c r="D2045" s="5">
        <v>906</v>
      </c>
      <c r="E2045" s="4" t="str">
        <f t="shared" si="152"/>
        <v>Funcionário</v>
      </c>
    </row>
    <row r="2046" spans="1:5">
      <c r="A2046" s="4" t="str">
        <f t="shared" si="150"/>
        <v>9</v>
      </c>
      <c r="B2046" s="4" t="str">
        <f>"ULYSSES FREIRE"</f>
        <v>ULYSSES FREIRE</v>
      </c>
      <c r="C2046" s="4" t="str">
        <f>"TECNICO ADM ESPECIALIZADO"</f>
        <v>TECNICO ADM ESPECIALIZADO</v>
      </c>
      <c r="D2046" s="5">
        <v>900</v>
      </c>
      <c r="E2046" s="4" t="str">
        <f t="shared" si="152"/>
        <v>Funcionário</v>
      </c>
    </row>
    <row r="2047" spans="1:5">
      <c r="A2047" s="4" t="str">
        <f t="shared" si="150"/>
        <v>9</v>
      </c>
      <c r="B2047" s="4" t="str">
        <f>"VANEIDE HOMERO DA SILVA"</f>
        <v>VANEIDE HOMERO DA SILVA</v>
      </c>
      <c r="C2047" s="4" t="str">
        <f>"OFICIAL DE PRODUCAO INDUSTRIAL"</f>
        <v>OFICIAL DE PRODUCAO INDUSTRIAL</v>
      </c>
      <c r="D2047" s="5">
        <v>910</v>
      </c>
      <c r="E2047" s="4" t="str">
        <f t="shared" si="152"/>
        <v>Funcionário</v>
      </c>
    </row>
    <row r="2048" spans="1:5">
      <c r="A2048" s="4" t="str">
        <f t="shared" si="150"/>
        <v>9</v>
      </c>
      <c r="B2048" s="4" t="str">
        <f>"VICTOR HENRIQUE BRITO SOUSA"</f>
        <v>VICTOR HENRIQUE BRITO SOUSA</v>
      </c>
      <c r="C2048" s="4" t="str">
        <f>"ENGENHEIRO"</f>
        <v>ENGENHEIRO</v>
      </c>
      <c r="D2048" s="5">
        <v>900</v>
      </c>
      <c r="E2048" s="4" t="str">
        <f t="shared" si="152"/>
        <v>Funcionário</v>
      </c>
    </row>
    <row r="2049" spans="1:5">
      <c r="A2049" s="4" t="str">
        <f t="shared" si="150"/>
        <v>9</v>
      </c>
      <c r="B2049" s="4" t="str">
        <f>"VILSON PEREIRA DE ARAUJO"</f>
        <v>VILSON PEREIRA DE ARAUJO</v>
      </c>
      <c r="C2049" s="4" t="str">
        <f>"MILITAR DA ATIVA"</f>
        <v>MILITAR DA ATIVA</v>
      </c>
      <c r="D2049" s="5">
        <v>906</v>
      </c>
      <c r="E2049" s="4" t="str">
        <f t="shared" si="152"/>
        <v>Funcionário</v>
      </c>
    </row>
    <row r="2050" spans="1:5">
      <c r="A2050" s="4" t="str">
        <f t="shared" si="150"/>
        <v>9</v>
      </c>
      <c r="B2050" s="4" t="str">
        <f>"VINICIUS DA SILVA NETTO"</f>
        <v>VINICIUS DA SILVA NETTO</v>
      </c>
      <c r="C2050" s="4" t="str">
        <f>"ESPECIALISTA"</f>
        <v>ESPECIALISTA</v>
      </c>
      <c r="D2050" s="5">
        <v>900</v>
      </c>
      <c r="E2050" s="4" t="str">
        <f t="shared" si="152"/>
        <v>Funcionário</v>
      </c>
    </row>
    <row r="2051" spans="1:5">
      <c r="A2051" s="4" t="str">
        <f t="shared" si="150"/>
        <v>9</v>
      </c>
      <c r="B2051" s="4" t="str">
        <f>"WALDENICE REIS DE ALMEIDA SOUSA"</f>
        <v>WALDENICE REIS DE ALMEIDA SOUSA</v>
      </c>
      <c r="C2051" s="4" t="str">
        <f>"AUX TECNICO ADMINISTRATIVO"</f>
        <v>AUX TECNICO ADMINISTRATIVO</v>
      </c>
      <c r="D2051" s="5">
        <v>900</v>
      </c>
      <c r="E2051" s="4" t="str">
        <f t="shared" si="152"/>
        <v>Funcionário</v>
      </c>
    </row>
    <row r="2052" spans="1:5">
      <c r="A2052" s="4" t="str">
        <f t="shared" si="150"/>
        <v>9</v>
      </c>
      <c r="B2052" s="4" t="str">
        <f>"WENDESON JEOVAN BRAGA"</f>
        <v>WENDESON JEOVAN BRAGA</v>
      </c>
      <c r="C2052" s="4" t="str">
        <f>"ANALISTA ESPECIALIZADO"</f>
        <v>ANALISTA ESPECIALIZADO</v>
      </c>
      <c r="D2052" s="5">
        <v>900</v>
      </c>
      <c r="E2052" s="4" t="str">
        <f t="shared" si="152"/>
        <v>Funcionário</v>
      </c>
    </row>
    <row r="2053" spans="1:5">
      <c r="A2053" s="4" t="str">
        <f t="shared" si="150"/>
        <v>9</v>
      </c>
      <c r="B2053" s="4" t="str">
        <f>"WHELTON LUIS BASTOS DOS SANTOS"</f>
        <v>WHELTON LUIS BASTOS DOS SANTOS</v>
      </c>
      <c r="C2053" s="4" t="str">
        <f>"ANALISTA ESPECIALIZADO"</f>
        <v>ANALISTA ESPECIALIZADO</v>
      </c>
      <c r="D2053" s="5">
        <v>900</v>
      </c>
      <c r="E2053" s="4" t="str">
        <f t="shared" si="152"/>
        <v>Funcionário</v>
      </c>
    </row>
    <row r="2054" spans="1:5">
      <c r="A2054" s="6" t="str">
        <f t="shared" si="150"/>
        <v>9</v>
      </c>
      <c r="B2054" s="6" t="str">
        <f>"YAN ANDREY GARCIA GUIMARAES BRESSAN"</f>
        <v>YAN ANDREY GARCIA GUIMARAES BRESSAN</v>
      </c>
      <c r="C2054" s="6" t="str">
        <f>"ENGENHEIRO"</f>
        <v>ENGENHEIRO</v>
      </c>
      <c r="D2054" s="7">
        <v>900</v>
      </c>
      <c r="E2054" s="6" t="str">
        <f t="shared" si="152"/>
        <v>Funcionário</v>
      </c>
    </row>
  </sheetData>
  <autoFilter ref="A2:E2054"/>
  <mergeCells count="1">
    <mergeCell ref="A1:E1"/>
  </mergeCells>
  <pageMargins left="0.78749999999999998" right="0.78749999999999998" top="0.88611111111111096" bottom="0.88611111111111096" header="0.78749999999999998" footer="0.78749999999999998"/>
  <pageSetup paperSize="9" orientation="landscape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2"/>
  <sheetViews>
    <sheetView showGridLines="0" tabSelected="1" workbookViewId="0">
      <selection activeCell="C28" sqref="C28"/>
    </sheetView>
  </sheetViews>
  <sheetFormatPr defaultRowHeight="12.75"/>
  <cols>
    <col min="1" max="1" width="16.140625" bestFit="1" customWidth="1"/>
    <col min="2" max="2" width="16.7109375" bestFit="1" customWidth="1"/>
    <col min="3" max="3" width="35.140625" bestFit="1" customWidth="1"/>
    <col min="4" max="4" width="22.85546875" bestFit="1" customWidth="1"/>
    <col min="5" max="5" width="18.5703125" bestFit="1" customWidth="1"/>
    <col min="6" max="6" width="16.5703125" bestFit="1" customWidth="1"/>
  </cols>
  <sheetData>
    <row r="1" spans="1:3" ht="24" customHeight="1">
      <c r="A1" s="15" t="s">
        <v>28</v>
      </c>
      <c r="B1" s="15"/>
      <c r="C1" s="15"/>
    </row>
    <row r="2" spans="1:3" ht="21" customHeight="1">
      <c r="A2" s="9" t="s">
        <v>26</v>
      </c>
      <c r="B2" s="9" t="s">
        <v>25</v>
      </c>
      <c r="C2" s="9" t="s">
        <v>27</v>
      </c>
    </row>
    <row r="3" spans="1:3" ht="15.75" customHeight="1">
      <c r="A3" s="14" t="s">
        <v>21</v>
      </c>
      <c r="B3" s="16">
        <v>8</v>
      </c>
      <c r="C3" s="8" t="s">
        <v>5</v>
      </c>
    </row>
    <row r="4" spans="1:3" ht="15.75" customHeight="1">
      <c r="A4" s="14"/>
      <c r="B4" s="17"/>
      <c r="C4" s="8" t="s">
        <v>6</v>
      </c>
    </row>
    <row r="5" spans="1:3" ht="15.75" customHeight="1">
      <c r="A5" s="14"/>
      <c r="B5" s="17"/>
      <c r="C5" s="8" t="s">
        <v>7</v>
      </c>
    </row>
    <row r="6" spans="1:3" ht="15.75" customHeight="1">
      <c r="A6" s="14"/>
      <c r="B6" s="17"/>
      <c r="C6" s="8" t="s">
        <v>8</v>
      </c>
    </row>
    <row r="7" spans="1:3" ht="15.75" customHeight="1">
      <c r="A7" s="14"/>
      <c r="B7" s="17"/>
      <c r="C7" s="8" t="s">
        <v>9</v>
      </c>
    </row>
    <row r="8" spans="1:3" ht="15.75" customHeight="1">
      <c r="A8" s="14"/>
      <c r="B8" s="17"/>
      <c r="C8" s="8" t="s">
        <v>10</v>
      </c>
    </row>
    <row r="9" spans="1:3" ht="15.75" customHeight="1">
      <c r="A9" s="14"/>
      <c r="B9" s="17"/>
      <c r="C9" s="8" t="str">
        <f>"PEDRO BERSAN BARRA AMARAL"</f>
        <v>PEDRO BERSAN BARRA AMARAL</v>
      </c>
    </row>
    <row r="10" spans="1:3" ht="15.75" customHeight="1">
      <c r="A10" s="14"/>
      <c r="B10" s="18"/>
      <c r="C10" s="8" t="s">
        <v>11</v>
      </c>
    </row>
    <row r="11" spans="1:3" ht="15.75" customHeight="1">
      <c r="A11" s="14" t="s">
        <v>22</v>
      </c>
      <c r="B11" s="16">
        <v>3</v>
      </c>
      <c r="C11" s="8" t="s">
        <v>12</v>
      </c>
    </row>
    <row r="12" spans="1:3" ht="15.75" customHeight="1">
      <c r="A12" s="14"/>
      <c r="B12" s="17"/>
      <c r="C12" s="8" t="s">
        <v>13</v>
      </c>
    </row>
    <row r="13" spans="1:3" ht="15.75" customHeight="1">
      <c r="A13" s="14"/>
      <c r="B13" s="18"/>
      <c r="C13" s="8" t="s">
        <v>14</v>
      </c>
    </row>
    <row r="14" spans="1:3" ht="15.75" customHeight="1">
      <c r="A14" s="14" t="s">
        <v>23</v>
      </c>
      <c r="B14" s="16">
        <v>6</v>
      </c>
      <c r="C14" s="8" t="s">
        <v>15</v>
      </c>
    </row>
    <row r="15" spans="1:3" ht="15.75" customHeight="1">
      <c r="A15" s="14"/>
      <c r="B15" s="17"/>
      <c r="C15" s="8" t="s">
        <v>16</v>
      </c>
    </row>
    <row r="16" spans="1:3" ht="15.75" customHeight="1">
      <c r="A16" s="14"/>
      <c r="B16" s="17"/>
      <c r="C16" s="8" t="s">
        <v>17</v>
      </c>
    </row>
    <row r="17" spans="1:3" ht="15.75" customHeight="1">
      <c r="A17" s="14"/>
      <c r="B17" s="17"/>
      <c r="C17" s="8" t="s">
        <v>18</v>
      </c>
    </row>
    <row r="18" spans="1:3" ht="15.75" customHeight="1">
      <c r="A18" s="14"/>
      <c r="B18" s="17"/>
      <c r="C18" s="8" t="s">
        <v>19</v>
      </c>
    </row>
    <row r="19" spans="1:3" ht="15.75" customHeight="1">
      <c r="A19" s="14"/>
      <c r="B19" s="18"/>
      <c r="C19" s="8" t="s">
        <v>20</v>
      </c>
    </row>
    <row r="20" spans="1:3" ht="15.75" customHeight="1">
      <c r="A20" s="10" t="s">
        <v>29</v>
      </c>
      <c r="B20" s="14">
        <f>SUM(B3:B19)</f>
        <v>17</v>
      </c>
      <c r="C20" s="14"/>
    </row>
    <row r="21" spans="1:3">
      <c r="C21" s="11" t="s">
        <v>24</v>
      </c>
    </row>
    <row r="22" spans="1:3">
      <c r="C22" s="12" t="s">
        <v>30</v>
      </c>
    </row>
  </sheetData>
  <mergeCells count="8">
    <mergeCell ref="B20:C20"/>
    <mergeCell ref="A1:C1"/>
    <mergeCell ref="A3:A10"/>
    <mergeCell ref="A11:A13"/>
    <mergeCell ref="A14:A19"/>
    <mergeCell ref="B3:B10"/>
    <mergeCell ref="B11:B13"/>
    <mergeCell ref="B14:B19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Funcionários</vt:lpstr>
      <vt:lpstr>Planilha1</vt:lpstr>
      <vt:lpstr>Planilha1!Area_de_impressao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dradm20</dc:creator>
  <cp:lastModifiedBy>ACI03</cp:lastModifiedBy>
  <cp:revision>1</cp:revision>
  <cp:lastPrinted>2025-10-02T19:08:58Z</cp:lastPrinted>
  <dcterms:created xsi:type="dcterms:W3CDTF">2025-11-12T15:07:58Z</dcterms:created>
  <dcterms:modified xsi:type="dcterms:W3CDTF">2025-11-12T17:25:37Z</dcterms:modified>
  <dc:language>pt-BR</dc:language>
</cp:coreProperties>
</file>